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snadafr-my.sharepoint.com/personal/zaigham_ali_esnadafrica_com/Documents/Desktop/Personal/My Profile/Me/Github Profile/"/>
    </mc:Choice>
  </mc:AlternateContent>
  <xr:revisionPtr revIDLastSave="907" documentId="13_ncr:1_{A8C5FC8A-C8E3-4D4C-A3C8-BCFAB48318A1}" xr6:coauthVersionLast="47" xr6:coauthVersionMax="47" xr10:uidLastSave="{0A9E1A55-A687-4A7F-BD0C-4B864315F4C3}"/>
  <bookViews>
    <workbookView xWindow="-28920" yWindow="-120" windowWidth="29040" windowHeight="15720" xr2:uid="{1EE4A064-C994-4E24-95E5-D88032823A25}"/>
  </bookViews>
  <sheets>
    <sheet name="Cover" sheetId="12" r:id="rId1"/>
    <sheet name="DCF Model" sheetId="20" r:id="rId2"/>
    <sheet name="Relative Valuation" sheetId="24" r:id="rId3"/>
    <sheet name="Football Field Chart" sheetId="23" r:id="rId4"/>
  </sheets>
  <externalReferences>
    <externalReference r:id="rId5"/>
  </externalReferences>
  <definedNames>
    <definedName name="CIQWBGuid" hidden="1">"2cd8126d-26c3-430c-b7fa-a069e3a1fc62"</definedName>
    <definedName name="Gross_Profit">'[1]Advanced Financial Analysis'!$9:$9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41666.7099189815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_xlnm.Print_Area" localSheetId="0">Cover!$B$2:$O$39</definedName>
    <definedName name="_xlnm.Print_Area" localSheetId="1">'DCF Model'!$B$3:$M$31,'DCF Model'!$B$34:$M$66,'DCF Model'!$B$69:$M$108,'DCF Model'!$B$111:$M$127,'DCF Model'!$B$130:$M$157,'DCF Model'!$B$160:$M$179,'DCF Model'!$B$182:$M$191,'DCF Model'!$B$194:$M$204,'DCF Model'!$B$207:$M$238,'DCF Model'!$B$241:$N$284,'DCF Model'!$B$287:$N$310,'DCF Model'!$B$313:$N$335</definedName>
    <definedName name="_xlnm.Print_Area" localSheetId="3">'Football Field Chart'!$B$3:$G$28</definedName>
    <definedName name="_xlnm.Print_Area" localSheetId="2">'Relative Valuation'!$B$3:$Q$39,'Relative Valuation'!$B$42:$Q$74</definedName>
    <definedName name="Sensitivity">'[1]Advanced Financial Analysis'!$D$49</definedName>
    <definedName name="SG_A">'[1]Advanced Financial Analysis'!$11:$11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23" l="1"/>
  <c r="L38" i="23"/>
  <c r="L41" i="23"/>
  <c r="K37" i="23"/>
  <c r="K38" i="23"/>
  <c r="K41" i="23"/>
  <c r="J37" i="23"/>
  <c r="J38" i="23"/>
  <c r="J39" i="23"/>
  <c r="J40" i="23"/>
  <c r="J41" i="23"/>
  <c r="I37" i="23"/>
  <c r="I38" i="23"/>
  <c r="I41" i="23"/>
  <c r="H37" i="23"/>
  <c r="H38" i="23"/>
  <c r="H41" i="23"/>
  <c r="B69" i="24"/>
  <c r="B68" i="24"/>
  <c r="B33" i="24"/>
  <c r="B32" i="24"/>
  <c r="B31" i="24"/>
  <c r="B30" i="24"/>
  <c r="E68" i="24"/>
  <c r="E69" i="24" s="1"/>
  <c r="E70" i="24" s="1"/>
  <c r="H68" i="24"/>
  <c r="H69" i="24" s="1"/>
  <c r="H70" i="24" s="1"/>
  <c r="I50" i="24"/>
  <c r="K50" i="24" s="1"/>
  <c r="I51" i="24"/>
  <c r="K51" i="24" s="1"/>
  <c r="I52" i="24"/>
  <c r="K52" i="24" s="1"/>
  <c r="I53" i="24"/>
  <c r="K53" i="24" s="1"/>
  <c r="I54" i="24"/>
  <c r="K54" i="24" s="1"/>
  <c r="I55" i="24"/>
  <c r="K55" i="24" s="1"/>
  <c r="I56" i="24"/>
  <c r="K56" i="24" s="1"/>
  <c r="I57" i="24"/>
  <c r="K57" i="24" s="1"/>
  <c r="I58" i="24"/>
  <c r="K58" i="24" s="1"/>
  <c r="I49" i="24"/>
  <c r="K49" i="24" s="1"/>
  <c r="F30" i="24" l="1"/>
  <c r="F31" i="24" s="1"/>
  <c r="F32" i="24" s="1"/>
  <c r="F33" i="24" s="1"/>
  <c r="G12" i="24"/>
  <c r="I12" i="24" s="1"/>
  <c r="O12" i="24" s="1"/>
  <c r="G13" i="24"/>
  <c r="I13" i="24" s="1"/>
  <c r="O13" i="24" s="1"/>
  <c r="G14" i="24"/>
  <c r="Q14" i="24" s="1"/>
  <c r="G15" i="24"/>
  <c r="I15" i="24" s="1"/>
  <c r="G16" i="24"/>
  <c r="Q16" i="24" s="1"/>
  <c r="G17" i="24"/>
  <c r="P17" i="24" s="1"/>
  <c r="G18" i="24"/>
  <c r="P18" i="24" s="1"/>
  <c r="G19" i="24"/>
  <c r="Q19" i="24" s="1"/>
  <c r="G20" i="24"/>
  <c r="Q20" i="24" s="1"/>
  <c r="G11" i="24"/>
  <c r="P11" i="24" s="1"/>
  <c r="Q58" i="24"/>
  <c r="P58" i="24"/>
  <c r="O58" i="24"/>
  <c r="G58" i="24"/>
  <c r="Q57" i="24"/>
  <c r="P57" i="24"/>
  <c r="O57" i="24"/>
  <c r="G57" i="24"/>
  <c r="Q56" i="24"/>
  <c r="P56" i="24"/>
  <c r="O56" i="24"/>
  <c r="G56" i="24"/>
  <c r="Q55" i="24"/>
  <c r="P55" i="24"/>
  <c r="O55" i="24"/>
  <c r="G55" i="24"/>
  <c r="Q54" i="24"/>
  <c r="P54" i="24"/>
  <c r="O54" i="24"/>
  <c r="G54" i="24"/>
  <c r="Q53" i="24"/>
  <c r="P53" i="24"/>
  <c r="O53" i="24"/>
  <c r="G53" i="24"/>
  <c r="Q52" i="24"/>
  <c r="P52" i="24"/>
  <c r="O52" i="24"/>
  <c r="G52" i="24"/>
  <c r="Q51" i="24"/>
  <c r="P51" i="24"/>
  <c r="O51" i="24"/>
  <c r="G51" i="24"/>
  <c r="Q50" i="24"/>
  <c r="P50" i="24"/>
  <c r="O50" i="24"/>
  <c r="G50" i="24"/>
  <c r="Q49" i="24"/>
  <c r="P49" i="24"/>
  <c r="O49" i="24"/>
  <c r="G49" i="24"/>
  <c r="G40" i="23"/>
  <c r="E40" i="23"/>
  <c r="K40" i="23" s="1"/>
  <c r="E329" i="20"/>
  <c r="D329" i="20" s="1"/>
  <c r="G329" i="20"/>
  <c r="H329" i="20" s="1"/>
  <c r="C333" i="20"/>
  <c r="C334" i="20" s="1"/>
  <c r="C331" i="20"/>
  <c r="C330" i="20" s="1"/>
  <c r="H40" i="23" l="1"/>
  <c r="Q18" i="24"/>
  <c r="I11" i="24"/>
  <c r="N11" i="24" s="1"/>
  <c r="I20" i="24"/>
  <c r="I18" i="24"/>
  <c r="O18" i="24" s="1"/>
  <c r="P19" i="24"/>
  <c r="I19" i="24"/>
  <c r="O19" i="24" s="1"/>
  <c r="P15" i="24"/>
  <c r="Q15" i="24"/>
  <c r="N15" i="24"/>
  <c r="O15" i="24"/>
  <c r="P16" i="24"/>
  <c r="P12" i="24"/>
  <c r="Q12" i="24"/>
  <c r="P13" i="24"/>
  <c r="I17" i="24"/>
  <c r="Q13" i="24"/>
  <c r="I16" i="24"/>
  <c r="P14" i="24"/>
  <c r="I14" i="24"/>
  <c r="N12" i="24"/>
  <c r="N13" i="24"/>
  <c r="P20" i="24"/>
  <c r="Q17" i="24"/>
  <c r="Q11" i="24"/>
  <c r="O63" i="24"/>
  <c r="P64" i="24"/>
  <c r="P62" i="24"/>
  <c r="P69" i="24" s="1"/>
  <c r="Q63" i="24"/>
  <c r="O64" i="24"/>
  <c r="Q64" i="24"/>
  <c r="P63" i="24"/>
  <c r="O62" i="24"/>
  <c r="O68" i="24" s="1"/>
  <c r="Q62" i="24"/>
  <c r="Q70" i="24" s="1"/>
  <c r="O61" i="24"/>
  <c r="P61" i="24"/>
  <c r="Q61" i="24"/>
  <c r="F40" i="23"/>
  <c r="L40" i="23" s="1"/>
  <c r="H127" i="20"/>
  <c r="H126" i="20"/>
  <c r="M118" i="20"/>
  <c r="L118" i="20"/>
  <c r="K118" i="20"/>
  <c r="J118" i="20"/>
  <c r="I118" i="20"/>
  <c r="H118" i="20"/>
  <c r="M125" i="20"/>
  <c r="L125" i="20"/>
  <c r="K125" i="20"/>
  <c r="J125" i="20"/>
  <c r="I125" i="20"/>
  <c r="H125" i="20"/>
  <c r="F41" i="23"/>
  <c r="G39" i="23"/>
  <c r="E39" i="23"/>
  <c r="K39" i="23" s="1"/>
  <c r="I40" i="23" l="1"/>
  <c r="H39" i="23"/>
  <c r="O11" i="24"/>
  <c r="N19" i="24"/>
  <c r="N20" i="24"/>
  <c r="O20" i="24"/>
  <c r="P23" i="24"/>
  <c r="N18" i="24"/>
  <c r="P25" i="24"/>
  <c r="P24" i="24"/>
  <c r="P32" i="24" s="1"/>
  <c r="O14" i="24"/>
  <c r="N14" i="24"/>
  <c r="N16" i="24"/>
  <c r="O16" i="24"/>
  <c r="O17" i="24"/>
  <c r="N17" i="24"/>
  <c r="Q25" i="24"/>
  <c r="P26" i="24"/>
  <c r="Q26" i="24"/>
  <c r="Q24" i="24"/>
  <c r="Q33" i="24" s="1"/>
  <c r="Q23" i="24"/>
  <c r="F39" i="23"/>
  <c r="L39" i="23" s="1"/>
  <c r="C322" i="20"/>
  <c r="C323" i="20" s="1"/>
  <c r="C320" i="20"/>
  <c r="C319" i="20" s="1"/>
  <c r="G318" i="20"/>
  <c r="H318" i="20" s="1"/>
  <c r="E318" i="20"/>
  <c r="D318" i="20" s="1"/>
  <c r="I39" i="23" l="1"/>
  <c r="N26" i="24"/>
  <c r="O24" i="24"/>
  <c r="O31" i="24" s="1"/>
  <c r="O23" i="24"/>
  <c r="N25" i="24"/>
  <c r="O25" i="24"/>
  <c r="N24" i="24"/>
  <c r="N30" i="24" s="1"/>
  <c r="N23" i="24"/>
  <c r="O26" i="24"/>
  <c r="I295" i="20" l="1"/>
  <c r="J292" i="20"/>
  <c r="K292" i="20" s="1"/>
  <c r="L292" i="20" s="1"/>
  <c r="M292" i="20" s="1"/>
  <c r="N292" i="20" s="1"/>
  <c r="J291" i="20"/>
  <c r="K291" i="20" s="1"/>
  <c r="L291" i="20" s="1"/>
  <c r="M291" i="20" s="1"/>
  <c r="N291" i="20" s="1"/>
  <c r="H291" i="20"/>
  <c r="I249" i="20"/>
  <c r="J246" i="20"/>
  <c r="K246" i="20" s="1"/>
  <c r="L246" i="20" s="1"/>
  <c r="M246" i="20" s="1"/>
  <c r="N246" i="20" s="1"/>
  <c r="H245" i="20"/>
  <c r="H246" i="20" s="1"/>
  <c r="I262" i="20" s="1"/>
  <c r="J245" i="20"/>
  <c r="K245" i="20" s="1"/>
  <c r="L245" i="20" s="1"/>
  <c r="M245" i="20" s="1"/>
  <c r="N245" i="20" s="1"/>
  <c r="H292" i="20" l="1"/>
  <c r="J262" i="20"/>
  <c r="L262" i="20"/>
  <c r="M262" i="20"/>
  <c r="K262" i="20"/>
  <c r="I256" i="20"/>
  <c r="M256" i="20"/>
  <c r="L256" i="20"/>
  <c r="K256" i="20"/>
  <c r="J256" i="20"/>
  <c r="E167" i="20" l="1"/>
  <c r="E173" i="20"/>
  <c r="H124" i="20" l="1"/>
  <c r="H117" i="20"/>
  <c r="H101" i="20"/>
  <c r="G101" i="20"/>
  <c r="F101" i="20"/>
  <c r="H91" i="20"/>
  <c r="H94" i="20" s="1"/>
  <c r="G91" i="20"/>
  <c r="G94" i="20" s="1"/>
  <c r="F91" i="20"/>
  <c r="F94" i="20" s="1"/>
  <c r="H59" i="20"/>
  <c r="G59" i="20"/>
  <c r="F59" i="20"/>
  <c r="H51" i="20"/>
  <c r="G51" i="20"/>
  <c r="F51" i="20"/>
  <c r="H10" i="20"/>
  <c r="H15" i="20" s="1"/>
  <c r="G10" i="20"/>
  <c r="G15" i="20" s="1"/>
  <c r="G19" i="20" s="1"/>
  <c r="G24" i="20" s="1"/>
  <c r="F10" i="20"/>
  <c r="H5" i="20"/>
  <c r="H295" i="20" s="1"/>
  <c r="H210" i="20" l="1"/>
  <c r="H249" i="20"/>
  <c r="I210" i="20"/>
  <c r="I200" i="20"/>
  <c r="I188" i="20"/>
  <c r="E176" i="20"/>
  <c r="E177" i="20"/>
  <c r="G104" i="20"/>
  <c r="I36" i="20"/>
  <c r="H104" i="20"/>
  <c r="H114" i="20"/>
  <c r="H71" i="20"/>
  <c r="H36" i="20"/>
  <c r="G5" i="20"/>
  <c r="G30" i="20"/>
  <c r="H123" i="20"/>
  <c r="H19" i="20"/>
  <c r="I114" i="20"/>
  <c r="I133" i="20"/>
  <c r="F15" i="20"/>
  <c r="F19" i="20" s="1"/>
  <c r="F24" i="20" s="1"/>
  <c r="J5" i="20"/>
  <c r="F104" i="20"/>
  <c r="I71" i="20"/>
  <c r="E178" i="20" l="1"/>
  <c r="L68" i="24"/>
  <c r="K68" i="24" s="1"/>
  <c r="J30" i="24"/>
  <c r="I30" i="24" s="1"/>
  <c r="I222" i="20"/>
  <c r="J249" i="20"/>
  <c r="J295" i="20"/>
  <c r="J210" i="20"/>
  <c r="J222" i="20" s="1"/>
  <c r="J188" i="20"/>
  <c r="J200" i="20"/>
  <c r="I10" i="20"/>
  <c r="I15" i="20" s="1"/>
  <c r="G46" i="20"/>
  <c r="G64" i="20" s="1"/>
  <c r="J133" i="20"/>
  <c r="J114" i="20"/>
  <c r="K5" i="20"/>
  <c r="J71" i="20"/>
  <c r="J36" i="20"/>
  <c r="G71" i="20"/>
  <c r="F5" i="20"/>
  <c r="G36" i="20"/>
  <c r="F30" i="20"/>
  <c r="F46" i="20" s="1"/>
  <c r="F64" i="20" s="1"/>
  <c r="F65" i="20" s="1"/>
  <c r="H121" i="20"/>
  <c r="H24" i="20"/>
  <c r="H119" i="20" s="1"/>
  <c r="K249" i="20" l="1"/>
  <c r="K295" i="20"/>
  <c r="C245" i="20"/>
  <c r="C291" i="20"/>
  <c r="C196" i="20"/>
  <c r="C184" i="20"/>
  <c r="K210" i="20"/>
  <c r="K222" i="20" s="1"/>
  <c r="F79" i="20"/>
  <c r="F84" i="20" s="1"/>
  <c r="F107" i="20" s="1"/>
  <c r="C220" i="20"/>
  <c r="K188" i="20"/>
  <c r="K200" i="20"/>
  <c r="J10" i="20"/>
  <c r="J15" i="20" s="1"/>
  <c r="J123" i="20" s="1"/>
  <c r="F36" i="20"/>
  <c r="F71" i="20"/>
  <c r="G63" i="20"/>
  <c r="G65" i="20" s="1"/>
  <c r="K133" i="20"/>
  <c r="K114" i="20"/>
  <c r="K36" i="20"/>
  <c r="K71" i="20"/>
  <c r="L5" i="20"/>
  <c r="H120" i="20"/>
  <c r="H30" i="20"/>
  <c r="I123" i="20"/>
  <c r="J152" i="20" l="1"/>
  <c r="N70" i="24"/>
  <c r="K70" i="24" s="1"/>
  <c r="I152" i="20"/>
  <c r="M69" i="24"/>
  <c r="K69" i="24" s="1"/>
  <c r="K31" i="24"/>
  <c r="I31" i="24" s="1"/>
  <c r="L249" i="20"/>
  <c r="L295" i="20"/>
  <c r="H122" i="20"/>
  <c r="L210" i="20"/>
  <c r="L222" i="20" s="1"/>
  <c r="G79" i="20"/>
  <c r="G84" i="20" s="1"/>
  <c r="G107" i="20" s="1"/>
  <c r="L200" i="20"/>
  <c r="L188" i="20"/>
  <c r="K10" i="20"/>
  <c r="K15" i="20" s="1"/>
  <c r="H116" i="20"/>
  <c r="L32" i="24" s="1"/>
  <c r="G32" i="24" s="1"/>
  <c r="H46" i="20"/>
  <c r="H63" i="20"/>
  <c r="L133" i="20"/>
  <c r="L114" i="20"/>
  <c r="M5" i="20"/>
  <c r="L36" i="20"/>
  <c r="L71" i="20"/>
  <c r="E32" i="24" l="1"/>
  <c r="M249" i="20"/>
  <c r="M295" i="20"/>
  <c r="M210" i="20"/>
  <c r="M222" i="20" s="1"/>
  <c r="M200" i="20"/>
  <c r="I231" i="20" s="1"/>
  <c r="M188" i="20"/>
  <c r="I226" i="20" s="1"/>
  <c r="K123" i="20"/>
  <c r="K152" i="20" s="1"/>
  <c r="I140" i="20"/>
  <c r="I148" i="20"/>
  <c r="I155" i="20" s="1"/>
  <c r="M114" i="20"/>
  <c r="M133" i="20"/>
  <c r="M36" i="20"/>
  <c r="M71" i="20"/>
  <c r="H64" i="20"/>
  <c r="H65" i="20" s="1"/>
  <c r="L10" i="20"/>
  <c r="L15" i="20" s="1"/>
  <c r="M10" i="20" l="1"/>
  <c r="M15" i="20" s="1"/>
  <c r="I63" i="20"/>
  <c r="L123" i="20"/>
  <c r="L152" i="20" s="1"/>
  <c r="J148" i="20"/>
  <c r="J155" i="20" s="1"/>
  <c r="J140" i="20"/>
  <c r="M123" i="20" l="1"/>
  <c r="H79" i="20"/>
  <c r="K148" i="20"/>
  <c r="K155" i="20" s="1"/>
  <c r="K140" i="20"/>
  <c r="M152" i="20" l="1"/>
  <c r="M202" i="20"/>
  <c r="H84" i="20"/>
  <c r="L140" i="20"/>
  <c r="L148" i="20"/>
  <c r="L155" i="20" s="1"/>
  <c r="M203" i="20" l="1"/>
  <c r="M231" i="20"/>
  <c r="M148" i="20"/>
  <c r="M155" i="20" s="1"/>
  <c r="M140" i="20"/>
  <c r="H107" i="20"/>
  <c r="M212" i="20" l="1"/>
  <c r="M227" i="20"/>
  <c r="L124" i="20" l="1"/>
  <c r="L51" i="20"/>
  <c r="M124" i="20"/>
  <c r="M51" i="20"/>
  <c r="I51" i="20"/>
  <c r="I124" i="20"/>
  <c r="J124" i="20"/>
  <c r="J51" i="20"/>
  <c r="K124" i="20"/>
  <c r="K51" i="20"/>
  <c r="J139" i="20" l="1"/>
  <c r="J147" i="20"/>
  <c r="J154" i="20" s="1"/>
  <c r="L147" i="20"/>
  <c r="L154" i="20" s="1"/>
  <c r="L139" i="20"/>
  <c r="M147" i="20"/>
  <c r="M154" i="20" s="1"/>
  <c r="M139" i="20"/>
  <c r="K147" i="20"/>
  <c r="K154" i="20" s="1"/>
  <c r="K139" i="20"/>
  <c r="I139" i="20"/>
  <c r="I147" i="20"/>
  <c r="I154" i="20" s="1"/>
  <c r="L117" i="20" l="1"/>
  <c r="L19" i="20"/>
  <c r="M19" i="20"/>
  <c r="M117" i="20"/>
  <c r="I117" i="20"/>
  <c r="I19" i="20"/>
  <c r="J117" i="20"/>
  <c r="J19" i="20"/>
  <c r="K117" i="20"/>
  <c r="K19" i="20"/>
  <c r="M145" i="20" l="1"/>
  <c r="M138" i="20"/>
  <c r="K145" i="20"/>
  <c r="K138" i="20"/>
  <c r="M121" i="20"/>
  <c r="J145" i="20"/>
  <c r="J138" i="20"/>
  <c r="I121" i="20"/>
  <c r="I24" i="20"/>
  <c r="L121" i="20"/>
  <c r="J121" i="20"/>
  <c r="K121" i="20"/>
  <c r="I138" i="20"/>
  <c r="I145" i="20"/>
  <c r="L138" i="20"/>
  <c r="L145" i="20"/>
  <c r="I30" i="20" l="1"/>
  <c r="I116" i="20" s="1"/>
  <c r="I119" i="20"/>
  <c r="I120" i="20" s="1"/>
  <c r="I146" i="20" s="1"/>
  <c r="M135" i="20"/>
  <c r="I46" i="20"/>
  <c r="I135" i="20"/>
  <c r="K135" i="20"/>
  <c r="L135" i="20"/>
  <c r="J135" i="20"/>
  <c r="I122" i="20" l="1"/>
  <c r="I153" i="20" s="1"/>
  <c r="I156" i="20" s="1"/>
  <c r="I144" i="20"/>
  <c r="I149" i="20" s="1"/>
  <c r="M33" i="24"/>
  <c r="G33" i="24" s="1"/>
  <c r="I136" i="20"/>
  <c r="I137" i="20" s="1"/>
  <c r="I141" i="20" s="1"/>
  <c r="I189" i="20" s="1"/>
  <c r="I201" i="20" s="1"/>
  <c r="I216" i="20" s="1"/>
  <c r="E33" i="24" l="1"/>
  <c r="I250" i="20"/>
  <c r="I296" i="20"/>
  <c r="I101" i="20"/>
  <c r="I59" i="20"/>
  <c r="I64" i="20" s="1"/>
  <c r="I218" i="20"/>
  <c r="I223" i="20" s="1"/>
  <c r="I252" i="20" l="1"/>
  <c r="I298" i="20"/>
  <c r="I65" i="20"/>
  <c r="I257" i="20" l="1"/>
  <c r="I263" i="20"/>
  <c r="D227" i="20"/>
  <c r="J63" i="20"/>
  <c r="I91" i="20"/>
  <c r="J68" i="24" l="1"/>
  <c r="H30" i="24"/>
  <c r="I94" i="20"/>
  <c r="I104" i="20" s="1"/>
  <c r="J24" i="20"/>
  <c r="I79" i="20"/>
  <c r="J30" i="20" l="1"/>
  <c r="J116" i="20" s="1"/>
  <c r="J144" i="20" s="1"/>
  <c r="J119" i="20"/>
  <c r="J69" i="24"/>
  <c r="I68" i="24"/>
  <c r="F68" i="24" s="1"/>
  <c r="H31" i="24"/>
  <c r="G30" i="24"/>
  <c r="E30" i="24" s="1"/>
  <c r="I84" i="20"/>
  <c r="J46" i="20"/>
  <c r="H32" i="24" l="1"/>
  <c r="G31" i="24"/>
  <c r="E31" i="24" s="1"/>
  <c r="E37" i="23" s="1"/>
  <c r="G68" i="24"/>
  <c r="J70" i="24"/>
  <c r="I70" i="24" s="1"/>
  <c r="F70" i="24" s="1"/>
  <c r="G70" i="24" s="1"/>
  <c r="I69" i="24"/>
  <c r="F69" i="24" s="1"/>
  <c r="G69" i="24" s="1"/>
  <c r="J122" i="20"/>
  <c r="J153" i="20" s="1"/>
  <c r="J156" i="20" s="1"/>
  <c r="J136" i="20"/>
  <c r="J137" i="20" s="1"/>
  <c r="J141" i="20" s="1"/>
  <c r="J189" i="20" s="1"/>
  <c r="J201" i="20" s="1"/>
  <c r="J216" i="20" s="1"/>
  <c r="J218" i="20" s="1"/>
  <c r="J223" i="20" s="1"/>
  <c r="J120" i="20"/>
  <c r="J146" i="20" s="1"/>
  <c r="J149" i="20" s="1"/>
  <c r="I107" i="20"/>
  <c r="G37" i="23" l="1"/>
  <c r="F37" i="23" s="1"/>
  <c r="J296" i="20"/>
  <c r="J250" i="20"/>
  <c r="E38" i="23"/>
  <c r="G38" i="23"/>
  <c r="H33" i="24"/>
  <c r="I33" i="24" s="1"/>
  <c r="I32" i="24"/>
  <c r="J101" i="20"/>
  <c r="J59" i="20"/>
  <c r="J64" i="20" s="1"/>
  <c r="G42" i="23" l="1"/>
  <c r="F38" i="23"/>
  <c r="J252" i="20"/>
  <c r="J298" i="20"/>
  <c r="J65" i="20"/>
  <c r="J257" i="20" l="1"/>
  <c r="J263" i="20"/>
  <c r="K63" i="20"/>
  <c r="J91" i="20"/>
  <c r="K24" i="20" l="1"/>
  <c r="J94" i="20"/>
  <c r="J104" i="20" s="1"/>
  <c r="J79" i="20"/>
  <c r="K30" i="20" l="1"/>
  <c r="K116" i="20" s="1"/>
  <c r="K144" i="20" s="1"/>
  <c r="K119" i="20"/>
  <c r="J84" i="20"/>
  <c r="J107" i="20" s="1"/>
  <c r="K46" i="20"/>
  <c r="K122" i="20" l="1"/>
  <c r="K153" i="20" s="1"/>
  <c r="K156" i="20" s="1"/>
  <c r="K136" i="20"/>
  <c r="K137" i="20" s="1"/>
  <c r="K141" i="20" s="1"/>
  <c r="K189" i="20" s="1"/>
  <c r="K201" i="20" s="1"/>
  <c r="K216" i="20" s="1"/>
  <c r="K218" i="20" s="1"/>
  <c r="K223" i="20" s="1"/>
  <c r="K120" i="20"/>
  <c r="K146" i="20" s="1"/>
  <c r="K149" i="20" s="1"/>
  <c r="K250" i="20" l="1"/>
  <c r="K296" i="20"/>
  <c r="K101" i="20"/>
  <c r="K59" i="20"/>
  <c r="K64" i="20" s="1"/>
  <c r="K252" i="20" l="1"/>
  <c r="K298" i="20"/>
  <c r="K65" i="20"/>
  <c r="K263" i="20" l="1"/>
  <c r="K257" i="20"/>
  <c r="L63" i="20"/>
  <c r="K91" i="20"/>
  <c r="L24" i="20"/>
  <c r="L30" i="20" l="1"/>
  <c r="L116" i="20" s="1"/>
  <c r="L144" i="20" s="1"/>
  <c r="L119" i="20"/>
  <c r="K94" i="20"/>
  <c r="K104" i="20" s="1"/>
  <c r="K79" i="20"/>
  <c r="L46" i="20"/>
  <c r="L122" i="20" l="1"/>
  <c r="L153" i="20" s="1"/>
  <c r="L156" i="20" s="1"/>
  <c r="L136" i="20"/>
  <c r="L137" i="20" s="1"/>
  <c r="L141" i="20" s="1"/>
  <c r="L189" i="20" s="1"/>
  <c r="L201" i="20" s="1"/>
  <c r="L216" i="20" s="1"/>
  <c r="L120" i="20"/>
  <c r="L146" i="20" s="1"/>
  <c r="L149" i="20" s="1"/>
  <c r="K84" i="20"/>
  <c r="K107" i="20" s="1"/>
  <c r="L296" i="20" l="1"/>
  <c r="L250" i="20"/>
  <c r="L218" i="20"/>
  <c r="L223" i="20" s="1"/>
  <c r="L101" i="20"/>
  <c r="L252" i="20" l="1"/>
  <c r="L298" i="20"/>
  <c r="L59" i="20"/>
  <c r="L64" i="20" s="1"/>
  <c r="L263" i="20" l="1"/>
  <c r="L257" i="20"/>
  <c r="L65" i="20"/>
  <c r="L91" i="20"/>
  <c r="M63" i="20" l="1"/>
  <c r="L94" i="20"/>
  <c r="L104" i="20" s="1"/>
  <c r="L79" i="20" l="1"/>
  <c r="M24" i="20"/>
  <c r="M30" i="20" l="1"/>
  <c r="M116" i="20" s="1"/>
  <c r="M144" i="20" s="1"/>
  <c r="M119" i="20"/>
  <c r="L84" i="20"/>
  <c r="L107" i="20" s="1"/>
  <c r="M46" i="20"/>
  <c r="M122" i="20" l="1"/>
  <c r="M153" i="20" s="1"/>
  <c r="M156" i="20" s="1"/>
  <c r="M136" i="20"/>
  <c r="M137" i="20" s="1"/>
  <c r="M141" i="20" s="1"/>
  <c r="M189" i="20" s="1"/>
  <c r="M120" i="20"/>
  <c r="M146" i="20" s="1"/>
  <c r="M149" i="20" s="1"/>
  <c r="M59" i="20"/>
  <c r="M64" i="20" s="1"/>
  <c r="M101" i="20"/>
  <c r="M226" i="20" l="1"/>
  <c r="M201" i="20"/>
  <c r="M216" i="20" s="1"/>
  <c r="M190" i="20"/>
  <c r="M191" i="20" s="1"/>
  <c r="M232" i="20" s="1"/>
  <c r="M234" i="20" s="1"/>
  <c r="M65" i="20"/>
  <c r="M233" i="20" l="1"/>
  <c r="M211" i="20"/>
  <c r="M213" i="20" s="1"/>
  <c r="M297" i="20" s="1"/>
  <c r="M250" i="20"/>
  <c r="M296" i="20"/>
  <c r="M229" i="20"/>
  <c r="M228" i="20"/>
  <c r="M91" i="20"/>
  <c r="M94" i="20" s="1"/>
  <c r="M104" i="20" s="1"/>
  <c r="M217" i="20" l="1"/>
  <c r="M218" i="20" s="1"/>
  <c r="M223" i="20" s="1"/>
  <c r="D226" i="20" s="1"/>
  <c r="D228" i="20" s="1"/>
  <c r="E231" i="20" s="1"/>
  <c r="E233" i="20" s="1"/>
  <c r="E235" i="20" s="1"/>
  <c r="M251" i="20"/>
  <c r="M252" i="20" s="1"/>
  <c r="M79" i="20"/>
  <c r="M298" i="20" l="1"/>
  <c r="F307" i="20" s="1"/>
  <c r="C329" i="20"/>
  <c r="C318" i="20"/>
  <c r="F272" i="20"/>
  <c r="F273" i="20" s="1"/>
  <c r="F276" i="20"/>
  <c r="F277" i="20" s="1"/>
  <c r="F268" i="20"/>
  <c r="F269" i="20" s="1"/>
  <c r="M263" i="20"/>
  <c r="F264" i="20" s="1"/>
  <c r="F265" i="20" s="1"/>
  <c r="M257" i="20"/>
  <c r="F258" i="20" s="1"/>
  <c r="F259" i="20" s="1"/>
  <c r="M84" i="20"/>
  <c r="F301" i="20" l="1"/>
  <c r="F304" i="20"/>
  <c r="M107" i="20"/>
  <c r="N16" i="12" s="1"/>
</calcChain>
</file>

<file path=xl/sharedStrings.xml><?xml version="1.0" encoding="utf-8"?>
<sst xmlns="http://schemas.openxmlformats.org/spreadsheetml/2006/main" count="404" uniqueCount="241">
  <si>
    <t>Strictly Confidential</t>
  </si>
  <si>
    <t>Table of Contents</t>
  </si>
  <si>
    <t>Revenue</t>
  </si>
  <si>
    <t>Accounts Receivable</t>
  </si>
  <si>
    <t>Accounts Payable</t>
  </si>
  <si>
    <t>All figures in USD thousands unless stated</t>
  </si>
  <si>
    <t>Subtotal</t>
  </si>
  <si>
    <t>EBT</t>
  </si>
  <si>
    <t>Income Statement</t>
  </si>
  <si>
    <t>Gross Profit</t>
  </si>
  <si>
    <t>EBITDA</t>
  </si>
  <si>
    <t>Depreciation</t>
  </si>
  <si>
    <t>EBIT</t>
  </si>
  <si>
    <t>Net Income</t>
  </si>
  <si>
    <t>Other</t>
  </si>
  <si>
    <t>Tax Rate</t>
  </si>
  <si>
    <t>Capital Expenditure</t>
  </si>
  <si>
    <t>Interest Expense</t>
  </si>
  <si>
    <t>SG&amp;A</t>
  </si>
  <si>
    <t>Property Plant &amp; Equipment</t>
  </si>
  <si>
    <t>COGS</t>
  </si>
  <si>
    <t xml:space="preserve"> </t>
  </si>
  <si>
    <t>Model Checks</t>
  </si>
  <si>
    <t>Cash Flow Statement</t>
  </si>
  <si>
    <t>CASH FROM OPERATING</t>
  </si>
  <si>
    <t/>
  </si>
  <si>
    <t>CASH FROM INVESTING</t>
  </si>
  <si>
    <t>CASH FROM FINANCING</t>
  </si>
  <si>
    <t>Change in Long-Term Debt</t>
  </si>
  <si>
    <t>Change in Common Equity</t>
  </si>
  <si>
    <t>Dividends</t>
  </si>
  <si>
    <t>Beginning of the Year</t>
  </si>
  <si>
    <t>Increase / (Decrease)</t>
  </si>
  <si>
    <t>End of the Year</t>
  </si>
  <si>
    <t>Balance Sheet</t>
  </si>
  <si>
    <t>Cash</t>
  </si>
  <si>
    <t>Inventories</t>
  </si>
  <si>
    <t>Total Current Assets</t>
  </si>
  <si>
    <t>Long-Term Debt</t>
  </si>
  <si>
    <t>Common Equity</t>
  </si>
  <si>
    <t>Retained Earnings</t>
  </si>
  <si>
    <t>Total Shareholders' Equity</t>
  </si>
  <si>
    <t>Check</t>
  </si>
  <si>
    <t>Interest Income</t>
  </si>
  <si>
    <t>Cash From Accounts Receivable</t>
  </si>
  <si>
    <t>Cash From Inventory</t>
  </si>
  <si>
    <t>Cash From Accounts Payable</t>
  </si>
  <si>
    <t>Total Current Liabilities</t>
  </si>
  <si>
    <t>Total Liabilities</t>
  </si>
  <si>
    <t>ASSETS</t>
  </si>
  <si>
    <t>LIABILITIES</t>
  </si>
  <si>
    <t>EQUITY</t>
  </si>
  <si>
    <t>Total Liabilities &amp; Equity</t>
  </si>
  <si>
    <t>Total Assets</t>
  </si>
  <si>
    <t>Revolving Credit Line</t>
  </si>
  <si>
    <t>Change in Revolving Credit Line</t>
  </si>
  <si>
    <t>Provision for Taxes</t>
  </si>
  <si>
    <t>CASH BALANCE</t>
  </si>
  <si>
    <t>Change in working capital</t>
  </si>
  <si>
    <t>Capex Investment</t>
  </si>
  <si>
    <t>Shares Outstanding</t>
  </si>
  <si>
    <t>(FD 000)</t>
  </si>
  <si>
    <t>Terminal Growth Rate</t>
  </si>
  <si>
    <t>Unlevered Free Cash Flow (UFCF)</t>
  </si>
  <si>
    <t>Terminal Value</t>
  </si>
  <si>
    <t>Terminal Multiple</t>
  </si>
  <si>
    <t>WACC</t>
  </si>
  <si>
    <t>Enterprise Value</t>
  </si>
  <si>
    <t>Less: Net Debt</t>
  </si>
  <si>
    <t>Equity Value</t>
  </si>
  <si>
    <t>EQUITY VALUE PER SHARE</t>
  </si>
  <si>
    <t>($/sh)</t>
  </si>
  <si>
    <t>Balanced Sheet balanced?</t>
  </si>
  <si>
    <t>Discounting Period</t>
  </si>
  <si>
    <t>Unlevered Taxes</t>
  </si>
  <si>
    <t>UFCF Using Net Income</t>
  </si>
  <si>
    <t>UFCF Using EBIT</t>
  </si>
  <si>
    <t>UFCF Using EBITDA</t>
  </si>
  <si>
    <t>Excerpts Provided from Financial Statement</t>
  </si>
  <si>
    <t>Risk free rate</t>
  </si>
  <si>
    <t>Beta</t>
  </si>
  <si>
    <t>Cost of Equity</t>
  </si>
  <si>
    <t>Enterprise</t>
  </si>
  <si>
    <t>Market</t>
  </si>
  <si>
    <t>EV / EBITDA</t>
  </si>
  <si>
    <t>Peer Companies</t>
  </si>
  <si>
    <r>
      <t xml:space="preserve">Value </t>
    </r>
    <r>
      <rPr>
        <b/>
        <vertAlign val="superscript"/>
        <sz val="10"/>
        <rFont val="Open Sans"/>
        <family val="2"/>
      </rPr>
      <t>1</t>
    </r>
  </si>
  <si>
    <t>Cap</t>
  </si>
  <si>
    <t>Alpha.com</t>
  </si>
  <si>
    <t>Big Bucks Company</t>
  </si>
  <si>
    <t>Centibillions Inc.</t>
  </si>
  <si>
    <t>Deep Pockets Ltd.</t>
  </si>
  <si>
    <t>Evergreen Co.</t>
  </si>
  <si>
    <t>Fat Cat Inc.</t>
  </si>
  <si>
    <t>Average</t>
  </si>
  <si>
    <t>Median</t>
  </si>
  <si>
    <t>Maximum</t>
  </si>
  <si>
    <t>Minimum</t>
  </si>
  <si>
    <t xml:space="preserve">Enterprise Value = Market Cap + Net Debt. </t>
  </si>
  <si>
    <t xml:space="preserve">Calculated as Market Cap divided by Net Income. </t>
  </si>
  <si>
    <t>Date</t>
  </si>
  <si>
    <t>Acquirer</t>
  </si>
  <si>
    <t>Target</t>
  </si>
  <si>
    <t>Value</t>
  </si>
  <si>
    <t>(YYYY-MM-DD)</t>
  </si>
  <si>
    <t>Cake</t>
  </si>
  <si>
    <t>Ice Cream</t>
  </si>
  <si>
    <t>Salt</t>
  </si>
  <si>
    <t>Pepper</t>
  </si>
  <si>
    <t>Fish</t>
  </si>
  <si>
    <t>Chips</t>
  </si>
  <si>
    <t>Peanut Butter</t>
  </si>
  <si>
    <t>Jelly</t>
  </si>
  <si>
    <t>Brisket</t>
  </si>
  <si>
    <t>NoSauce</t>
  </si>
  <si>
    <t>Biscuits</t>
  </si>
  <si>
    <t>Gravy</t>
  </si>
  <si>
    <t>Location</t>
  </si>
  <si>
    <t>JJ Co.</t>
  </si>
  <si>
    <t>Canada</t>
  </si>
  <si>
    <t>USA</t>
  </si>
  <si>
    <t>Ghana</t>
  </si>
  <si>
    <t>China</t>
  </si>
  <si>
    <t>Industry</t>
  </si>
  <si>
    <t>CTM</t>
  </si>
  <si>
    <t>Jik</t>
  </si>
  <si>
    <t>Lime</t>
  </si>
  <si>
    <t>Octane</t>
  </si>
  <si>
    <t>HHV</t>
  </si>
  <si>
    <t>Dela</t>
  </si>
  <si>
    <t>Unlevered Free Cash Flow (UFCF) using EBITDA</t>
  </si>
  <si>
    <t>Unlevered Free Cash Flow (UFCF) using EBIT</t>
  </si>
  <si>
    <t>Unlevered Free Cash Flow (UFCF) using Net Income</t>
  </si>
  <si>
    <t>Cost of Debt</t>
  </si>
  <si>
    <t>Calculation of Weighted Average Cost of Capital (WACC)</t>
  </si>
  <si>
    <t>Long term debt</t>
  </si>
  <si>
    <t>Terminal Value using Perpetual Growth Rate</t>
  </si>
  <si>
    <t>Terminal Value using EBITDA Multiple</t>
  </si>
  <si>
    <t>Capital Expenditures</t>
  </si>
  <si>
    <t>Less: Unlevered Taxes</t>
  </si>
  <si>
    <t>Net Operating Profit After Taxes (NOPAT)</t>
  </si>
  <si>
    <t>After-tax Interest Expense (Int Exp * (1-Tax))</t>
  </si>
  <si>
    <t>Intrinsic Valuation - Financial Statement Extracts</t>
  </si>
  <si>
    <t>Intrinsic Valuation - Determining Unlevered Free Cashflow (UFCF)</t>
  </si>
  <si>
    <t>Intrinsic Valuation - Determining Terminal Value using a Perpetual Growth Rate</t>
  </si>
  <si>
    <t>Intrinsic Valuation - Calculating WACC</t>
  </si>
  <si>
    <t>Using the Capital Asset Pricing Model (CAPM) to calculate the Cost of Equity</t>
  </si>
  <si>
    <t>After-tax Cost of Debt</t>
  </si>
  <si>
    <r>
      <t xml:space="preserve">Perpetuity UFCF </t>
    </r>
    <r>
      <rPr>
        <vertAlign val="subscript"/>
        <sz val="10"/>
        <color theme="1"/>
        <rFont val="Open Sans"/>
        <family val="2"/>
      </rPr>
      <t>t+1</t>
    </r>
  </si>
  <si>
    <t>Terminal Value using a Perpetual Growth Rate</t>
  </si>
  <si>
    <t>Total Cash Flows</t>
  </si>
  <si>
    <t>Present Value of Cash Flows</t>
  </si>
  <si>
    <t>Relative Valuation - Using Precedent Transaction Analysis</t>
  </si>
  <si>
    <t>Relative Valuation - Using Comparable Company Analysis</t>
  </si>
  <si>
    <t>Intrinsic Valuation - Determining Terminal Value using an EBITDA Multiple</t>
  </si>
  <si>
    <t>Intrinsic Valuation - Discounting Unlevered Free CashFlows (UFCF) and Terminal Values</t>
  </si>
  <si>
    <t>Discrete Forecast</t>
  </si>
  <si>
    <t>(YY-MM-DD)</t>
  </si>
  <si>
    <t>Fiscal Year End</t>
  </si>
  <si>
    <t>Cash Flow Timing</t>
  </si>
  <si>
    <t>Valuation</t>
  </si>
  <si>
    <t>Terminal</t>
  </si>
  <si>
    <t>Average Terminal Value</t>
  </si>
  <si>
    <t>Manual End-of-Period Discounting Convention</t>
  </si>
  <si>
    <t>The NPV function assumes cash flows are evenly spaced;</t>
  </si>
  <si>
    <t xml:space="preserve"> you do not typically include the first cash flow (if there is one), as NPV will discount that cash flow as well.</t>
  </si>
  <si>
    <t>The XNPV function is more accurate as it takes into account precise dates;</t>
  </si>
  <si>
    <t>Intrinsic Valuation - Using IRR and XIRR</t>
  </si>
  <si>
    <t>Intrinsic Valuation - Using NPV and XNPV</t>
  </si>
  <si>
    <r>
      <t xml:space="preserve">Using the IRR function </t>
    </r>
    <r>
      <rPr>
        <b/>
        <vertAlign val="superscript"/>
        <sz val="10"/>
        <color theme="1"/>
        <rFont val="Open Sans"/>
        <family val="2"/>
      </rPr>
      <t>1</t>
    </r>
  </si>
  <si>
    <t>Internal Rate of Return (IRR)</t>
  </si>
  <si>
    <t>Both IRR and XIRR require an initial cash outflow to calculate;</t>
  </si>
  <si>
    <t>The XIRR function is more accurate as it takes into account precise dates.</t>
  </si>
  <si>
    <r>
      <t xml:space="preserve">Using the XNPV function (End-of-Period Discounting) </t>
    </r>
    <r>
      <rPr>
        <b/>
        <vertAlign val="superscript"/>
        <sz val="10"/>
        <color theme="1"/>
        <rFont val="Open Sans"/>
        <family val="2"/>
      </rPr>
      <t>2</t>
    </r>
  </si>
  <si>
    <r>
      <t xml:space="preserve">Using the NPV function (End-of-Period Discounting) </t>
    </r>
    <r>
      <rPr>
        <b/>
        <vertAlign val="superscript"/>
        <sz val="10"/>
        <color theme="1"/>
        <rFont val="Open Sans"/>
        <family val="2"/>
      </rPr>
      <t>1</t>
    </r>
  </si>
  <si>
    <t>Using the XIRR function (End-of-Period Discounting)</t>
  </si>
  <si>
    <t>Relative Valuation</t>
  </si>
  <si>
    <t>Share</t>
  </si>
  <si>
    <t>Offer</t>
  </si>
  <si>
    <t>Control</t>
  </si>
  <si>
    <t>Price</t>
  </si>
  <si>
    <t>Premium</t>
  </si>
  <si>
    <t>GTM</t>
  </si>
  <si>
    <t>Data Table</t>
  </si>
  <si>
    <t>Precedent Transactions</t>
  </si>
  <si>
    <t>Comparable Companies</t>
  </si>
  <si>
    <t>Low</t>
  </si>
  <si>
    <t>Middle</t>
  </si>
  <si>
    <t>High</t>
  </si>
  <si>
    <t>52 Week High/Low</t>
  </si>
  <si>
    <t>Football Field Chart</t>
  </si>
  <si>
    <t>Interest Expense, net</t>
  </si>
  <si>
    <t>IMPLIED PERPETUITY GROWTH AND TERMINAL MULTIPLE</t>
  </si>
  <si>
    <r>
      <t xml:space="preserve">Implied Perpetuity Growth Rate </t>
    </r>
    <r>
      <rPr>
        <i/>
        <vertAlign val="superscript"/>
        <sz val="10"/>
        <color theme="1"/>
        <rFont val="Open Sans"/>
        <family val="2"/>
      </rPr>
      <t>1</t>
    </r>
  </si>
  <si>
    <r>
      <t xml:space="preserve">Implied Perpetuity Growth Rate </t>
    </r>
    <r>
      <rPr>
        <i/>
        <vertAlign val="superscript"/>
        <sz val="10"/>
        <color theme="1"/>
        <rFont val="Open Sans"/>
        <family val="2"/>
      </rPr>
      <t>2</t>
    </r>
  </si>
  <si>
    <t xml:space="preserve">Assumes end-of-period discounting. </t>
  </si>
  <si>
    <t xml:space="preserve">Assumes mid-year discounting. </t>
  </si>
  <si>
    <t>DCF - Perpetuity Growth</t>
  </si>
  <si>
    <t>DCF - Terminal Multiple</t>
  </si>
  <si>
    <t>Equity Value per Share</t>
  </si>
  <si>
    <t>Perpetuity Growth Rate</t>
  </si>
  <si>
    <t>Supermarkets</t>
  </si>
  <si>
    <t>Shares</t>
  </si>
  <si>
    <t>$</t>
  </si>
  <si>
    <t>x</t>
  </si>
  <si>
    <t>mm</t>
  </si>
  <si>
    <t>Net</t>
  </si>
  <si>
    <t>Debt</t>
  </si>
  <si>
    <t>Target Company Value at Median Multiples</t>
  </si>
  <si>
    <t>Outstand.</t>
  </si>
  <si>
    <t>Market Cap</t>
  </si>
  <si>
    <t>at Offer</t>
  </si>
  <si>
    <t>Current Price</t>
  </si>
  <si>
    <t>Upside/(Downside)</t>
  </si>
  <si>
    <r>
      <t xml:space="preserve">EQUITY VALUE </t>
    </r>
    <r>
      <rPr>
        <b/>
        <vertAlign val="superscript"/>
        <sz val="10"/>
        <rFont val="Open Sans"/>
        <family val="2"/>
      </rPr>
      <t>1</t>
    </r>
  </si>
  <si>
    <r>
      <t xml:space="preserve">Implied Terminal Multiple </t>
    </r>
    <r>
      <rPr>
        <i/>
        <vertAlign val="superscript"/>
        <sz val="10"/>
        <color theme="1"/>
        <rFont val="Open Sans"/>
        <family val="2"/>
      </rPr>
      <t>1</t>
    </r>
  </si>
  <si>
    <r>
      <t xml:space="preserve">Implied Terminal Multiple </t>
    </r>
    <r>
      <rPr>
        <i/>
        <vertAlign val="superscript"/>
        <sz val="10"/>
        <color theme="1"/>
        <rFont val="Open Sans"/>
        <family val="2"/>
      </rPr>
      <t>2</t>
    </r>
  </si>
  <si>
    <t>Nav Inc.</t>
  </si>
  <si>
    <t>LRM Ltd.</t>
  </si>
  <si>
    <t>Zhao Ltd.</t>
  </si>
  <si>
    <t>Manual Mid-Period Discounting Convention</t>
  </si>
  <si>
    <t>Using the XIRR function (Mid-Period Discounting)</t>
  </si>
  <si>
    <t>it will not discount the first cash flow.</t>
  </si>
  <si>
    <t>DCF Model</t>
  </si>
  <si>
    <t>Equity Risk Premium</t>
  </si>
  <si>
    <t>Target Debt Weight (% of Total Capital Structure)</t>
  </si>
  <si>
    <t>Target Equity Weight (% of Total Capital Structure)</t>
  </si>
  <si>
    <t>However, we must hardcode a zero value at the valuation date for XNPV to correctly discount the cash flows</t>
  </si>
  <si>
    <r>
      <t xml:space="preserve">Using the XNPV function (Mid-Period Discounting) </t>
    </r>
    <r>
      <rPr>
        <b/>
        <vertAlign val="superscript"/>
        <sz val="10"/>
        <color theme="1"/>
        <rFont val="Open Sans"/>
        <family val="2"/>
      </rPr>
      <t>2</t>
    </r>
  </si>
  <si>
    <r>
      <t xml:space="preserve">P / E </t>
    </r>
    <r>
      <rPr>
        <b/>
        <vertAlign val="superscript"/>
        <sz val="10"/>
        <color rgb="FF000000"/>
        <rFont val="Open Sans"/>
        <family val="2"/>
      </rPr>
      <t>2</t>
    </r>
  </si>
  <si>
    <t>Zaigham Ali, ACCA, CPA, CFA L1  |  DCF Model</t>
  </si>
  <si>
    <t>Zaigham Ali, ACCA, CPA, CFA L1  |  Relative Valuation</t>
  </si>
  <si>
    <t>Zaigham Ali, ACCA, CPA, CFA L1  |  Football Field Chart</t>
  </si>
  <si>
    <t>Zaigham Ali, ACCA, CPA, CFA L1</t>
  </si>
  <si>
    <t>Financial Modeling &amp; Analysis</t>
  </si>
  <si>
    <t>Business Valuation Model</t>
  </si>
  <si>
    <t>© Zaigham Ali, ACCA, CPA, CFA L1 — prepared for educational and professional reference. Please credit the author when referencing or distributing.</t>
  </si>
  <si>
    <t>Copyright &amp; Attribution</t>
  </si>
  <si>
    <t>https://szaighamali.github.io/zaighamali.github.io</t>
  </si>
  <si>
    <t>© Zaigham Ali, ACCA, CPA, CFA L1  |  https://szaighamali.github.io/zaighamali.github.io</t>
  </si>
  <si>
    <t>Average Valuation: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</si>
</sst>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3" formatCode="_(* #,##0.00_);_(* \(#,##0.00\);_(* &quot;-&quot;??_);_(@_)"/>
    <numFmt numFmtId="164" formatCode="_-* #,##0.00_-;\-* #,##0.00_-;_-* &quot;-&quot;??_-;_-@_-"/>
    <numFmt numFmtId="165" formatCode="_(#,##0_)_%;\(#,##0\)_%;_(&quot;–&quot;_)_%;_(@_)_%"/>
    <numFmt numFmtId="166" formatCode="0&quot;A&quot;"/>
    <numFmt numFmtId="167" formatCode="0&quot;F&quot;"/>
    <numFmt numFmtId="168" formatCode="_(#,##0_);\(#,##0\);_(&quot;–&quot;_);_(@_)"/>
    <numFmt numFmtId="169" formatCode="#,##0_);[Red]\(#,##0\);\-"/>
    <numFmt numFmtId="170" formatCode="#,##0_);\(#,##0\);\-"/>
    <numFmt numFmtId="171" formatCode="_(#,##0.0%_);\(#,##0.0%\);_(&quot;–&quot;_)_%;_(@_)_%"/>
    <numFmt numFmtId="172" formatCode="0&quot;E&quot;"/>
    <numFmt numFmtId="173" formatCode="0.0%"/>
    <numFmt numFmtId="174" formatCode="_(#,##0.00_);\(#,##0.00\);_(&quot;–&quot;_);_(@_)"/>
    <numFmt numFmtId="175" formatCode="_(#,##0%_);\(#,##0%\);_(&quot;–&quot;_)_%;_(@_)_%"/>
    <numFmt numFmtId="176" formatCode="@\⁽\¹\⁾"/>
    <numFmt numFmtId="177" formatCode="@\⁽\²\⁾"/>
    <numFmt numFmtId="178" formatCode="&quot;Yes&quot;;&quot;ERROR&quot;;&quot;No&quot;;&quot;ERROR&quot;"/>
    <numFmt numFmtId="179" formatCode="_-* #,##0.00_-;\(#,##0.00\)_-;_-* &quot;-&quot;_-;_-@_-"/>
    <numFmt numFmtId="180" formatCode="[=1]&quot;Yes&quot;;[=0]&quot;No&quot;"/>
    <numFmt numFmtId="181" formatCode="_(0.0\x_);\(0.0\x\);_(&quot;–&quot;_);_(@_)"/>
    <numFmt numFmtId="182" formatCode="[=0]&quot;Yes&quot;;[=1]&quot;No&quot;"/>
    <numFmt numFmtId="183" formatCode="@\⁽\³\⁾"/>
    <numFmt numFmtId="184" formatCode="0.0\x"/>
    <numFmt numFmtId="185" formatCode="@\⁽\⁴\⁾"/>
    <numFmt numFmtId="186" formatCode="yyyy\-mm\-dd;@"/>
    <numFmt numFmtId="187" formatCode="_(#,##0.0_);\(#,##0.0\);_(&quot;–&quot;_);_(@_)"/>
    <numFmt numFmtId="188" formatCode="yy/mm/dd"/>
    <numFmt numFmtId="189" formatCode="_-&quot;$&quot;* #,##0.00_-;\-&quot;$&quot;* #,##0.00_-;_-&quot;$&quot;* &quot;-&quot;??_-;_-@_-"/>
    <numFmt numFmtId="190" formatCode="#,##0.00_);\(#,##0.00\);\-"/>
    <numFmt numFmtId="191" formatCode="0000\A"/>
    <numFmt numFmtId="192" formatCode="0000\F"/>
    <numFmt numFmtId="193" formatCode="&quot;$&quot;0.00"/>
  </numFmts>
  <fonts count="80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1"/>
      <color theme="1"/>
      <name val="Calibri"/>
      <family val="2"/>
      <scheme val="minor"/>
    </font>
    <font>
      <b/>
      <sz val="10"/>
      <color theme="0"/>
      <name val="Open Sans"/>
      <family val="2"/>
    </font>
    <font>
      <sz val="10"/>
      <color theme="0"/>
      <name val="Open Sans"/>
      <family val="2"/>
    </font>
    <font>
      <b/>
      <sz val="11"/>
      <color theme="1"/>
      <name val="Open Sans"/>
      <family val="2"/>
    </font>
    <font>
      <u/>
      <sz val="10"/>
      <color theme="10"/>
      <name val="Arial"/>
      <family val="2"/>
    </font>
    <font>
      <sz val="10"/>
      <name val="Bookman"/>
      <family val="1"/>
    </font>
    <font>
      <sz val="11"/>
      <color theme="1"/>
      <name val="Open Sans"/>
      <family val="2"/>
    </font>
    <font>
      <sz val="14"/>
      <color theme="1"/>
      <name val="Open Sans"/>
      <family val="2"/>
    </font>
    <font>
      <i/>
      <sz val="9"/>
      <name val="Open Sans"/>
      <family val="2"/>
    </font>
    <font>
      <b/>
      <sz val="10"/>
      <name val="Open Sans"/>
      <family val="2"/>
    </font>
    <font>
      <sz val="11"/>
      <name val="Open Sans"/>
      <family val="2"/>
    </font>
    <font>
      <sz val="10"/>
      <color rgb="FF000000"/>
      <name val="Open Sans"/>
      <family val="2"/>
    </font>
    <font>
      <sz val="10"/>
      <name val="Open Sans"/>
      <family val="2"/>
    </font>
    <font>
      <b/>
      <sz val="10"/>
      <color rgb="FF000000"/>
      <name val="Open Sans"/>
      <family val="2"/>
    </font>
    <font>
      <i/>
      <sz val="10"/>
      <name val="Open Sans"/>
      <family val="2"/>
    </font>
    <font>
      <i/>
      <sz val="8"/>
      <name val="Open Sans"/>
      <family val="2"/>
    </font>
    <font>
      <sz val="10"/>
      <color rgb="FFFF0000"/>
      <name val="Open Sans"/>
      <family val="2"/>
    </font>
    <font>
      <i/>
      <sz val="10"/>
      <color rgb="FF000000"/>
      <name val="Open Sans"/>
      <family val="2"/>
    </font>
    <font>
      <b/>
      <sz val="10"/>
      <color theme="1"/>
      <name val="Open Sans"/>
      <family val="2"/>
    </font>
    <font>
      <u/>
      <sz val="11"/>
      <color theme="10"/>
      <name val="Calibri"/>
      <family val="2"/>
      <scheme val="minor"/>
    </font>
    <font>
      <sz val="12"/>
      <color theme="1"/>
      <name val="Open Sans"/>
      <family val="2"/>
    </font>
    <font>
      <sz val="9"/>
      <name val="Open Sans"/>
      <family val="2"/>
    </font>
    <font>
      <sz val="12"/>
      <color rgb="FF000000"/>
      <name val="Open Sans"/>
      <family val="2"/>
    </font>
    <font>
      <sz val="10"/>
      <color rgb="FFFA621C"/>
      <name val="Open Sans"/>
      <family val="2"/>
    </font>
    <font>
      <sz val="11"/>
      <color rgb="FFFA621C"/>
      <name val="Open Sans"/>
      <family val="2"/>
    </font>
    <font>
      <sz val="11"/>
      <color rgb="FF000000"/>
      <name val="Open Sans"/>
      <family val="2"/>
    </font>
    <font>
      <b/>
      <vertAlign val="superscript"/>
      <sz val="10"/>
      <name val="Open Sans"/>
      <family val="2"/>
    </font>
    <font>
      <b/>
      <sz val="10"/>
      <color rgb="FFFA621C"/>
      <name val="Open Sans"/>
      <family val="2"/>
    </font>
    <font>
      <b/>
      <i/>
      <sz val="11"/>
      <color rgb="FFFA621C"/>
      <name val="Open Sans"/>
      <family val="2"/>
    </font>
    <font>
      <sz val="8"/>
      <color theme="1"/>
      <name val="Open Sans"/>
      <family val="2"/>
    </font>
    <font>
      <sz val="10"/>
      <color rgb="FF289A72"/>
      <name val="Open Sans"/>
      <family val="2"/>
    </font>
    <font>
      <sz val="10"/>
      <name val="Arial"/>
      <family val="2"/>
    </font>
    <font>
      <b/>
      <vertAlign val="superscript"/>
      <sz val="10"/>
      <color rgb="FF000000"/>
      <name val="Open Sans"/>
      <family val="2"/>
    </font>
    <font>
      <b/>
      <vertAlign val="superscript"/>
      <sz val="10"/>
      <color theme="1"/>
      <name val="Open Sans"/>
      <family val="2"/>
    </font>
    <font>
      <sz val="10"/>
      <color rgb="FFC00000"/>
      <name val="Open Sans"/>
      <family val="2"/>
    </font>
    <font>
      <i/>
      <sz val="9"/>
      <color rgb="FF000000"/>
      <name val="Open Sans"/>
      <family val="2"/>
    </font>
    <font>
      <b/>
      <sz val="11"/>
      <color rgb="FF000000"/>
      <name val="Open Sans"/>
      <family val="2"/>
    </font>
    <font>
      <sz val="9"/>
      <color rgb="FF000000"/>
      <name val="Open Sans"/>
      <family val="2"/>
    </font>
    <font>
      <vertAlign val="subscript"/>
      <sz val="10"/>
      <color theme="1"/>
      <name val="Open Sans"/>
      <family val="2"/>
    </font>
    <font>
      <b/>
      <sz val="9"/>
      <color rgb="FF000000"/>
      <name val="Open Sans"/>
      <family val="2"/>
    </font>
    <font>
      <sz val="8"/>
      <name val="Open Sans"/>
      <family val="2"/>
    </font>
    <font>
      <sz val="10"/>
      <color rgb="FFFFFFFF"/>
      <name val="Open Sans"/>
      <family val="2"/>
    </font>
    <font>
      <i/>
      <sz val="10"/>
      <color theme="1"/>
      <name val="Open Sans"/>
      <family val="2"/>
    </font>
    <font>
      <i/>
      <vertAlign val="superscript"/>
      <sz val="10"/>
      <color theme="1"/>
      <name val="Open Sans"/>
      <family val="2"/>
    </font>
    <font>
      <i/>
      <sz val="11"/>
      <color theme="1"/>
      <name val="Open Sans"/>
      <family val="2"/>
    </font>
    <font>
      <i/>
      <sz val="9"/>
      <color theme="1"/>
      <name val="Open Sans"/>
      <family val="2"/>
    </font>
    <font>
      <i/>
      <sz val="9"/>
      <color rgb="FFFF0000"/>
      <name val="Open Sans"/>
      <family val="2"/>
    </font>
    <font>
      <sz val="11"/>
      <color theme="1"/>
      <name val="Arial Narrow"/>
      <family val="2"/>
    </font>
    <font>
      <b/>
      <sz val="11"/>
      <color rgb="FFC9A96E"/>
      <name val="Open Sans"/>
      <family val="2"/>
    </font>
    <font>
      <b/>
      <sz val="14"/>
      <color rgb="FFC9A96E"/>
      <name val="Open Sans"/>
      <family val="2"/>
    </font>
    <font>
      <b/>
      <sz val="10"/>
      <color rgb="FFC9A96E"/>
      <name val="Open Sans"/>
      <family val="2"/>
    </font>
    <font>
      <b/>
      <sz val="12"/>
      <color rgb="FFC9A96E"/>
      <name val="Open Sans"/>
      <family val="2"/>
    </font>
    <font>
      <b/>
      <i/>
      <sz val="12"/>
      <color rgb="FFC9A96E"/>
      <name val="Open Sans"/>
      <family val="2"/>
    </font>
    <font>
      <sz val="10"/>
      <color rgb="FF1F4E79"/>
      <name val="Open Sans"/>
      <family val="2"/>
    </font>
    <font>
      <b/>
      <sz val="14"/>
      <color rgb="FF1F4E79"/>
      <name val="Open Sans"/>
      <family val="2"/>
    </font>
    <font>
      <b/>
      <sz val="10"/>
      <color rgb="FF1F4E79"/>
      <name val="Open Sans"/>
      <family val="2"/>
    </font>
    <font>
      <sz val="11"/>
      <color rgb="FF1F4E79"/>
      <name val="Open Sans"/>
      <family val="2"/>
    </font>
    <font>
      <sz val="12"/>
      <color rgb="FF1F4E79"/>
      <name val="Open Sans"/>
      <family val="2"/>
    </font>
    <font>
      <sz val="11"/>
      <color rgb="FFFFFFFF"/>
      <name val="Open Sans"/>
      <family val="2"/>
    </font>
    <font>
      <b/>
      <sz val="20"/>
      <color rgb="FF0B2545"/>
      <name val="Open Sans"/>
      <family val="2"/>
    </font>
    <font>
      <b/>
      <sz val="14"/>
      <color rgb="FF0B2545"/>
      <name val="Open Sans"/>
      <family val="2"/>
    </font>
    <font>
      <b/>
      <u/>
      <sz val="12"/>
      <color rgb="FF0B2545"/>
      <name val="Open Sans"/>
      <family val="2"/>
    </font>
    <font>
      <b/>
      <u/>
      <sz val="11"/>
      <color rgb="FFC9A96E"/>
      <name val="Open Sans"/>
      <family val="2"/>
    </font>
    <font>
      <u/>
      <sz val="10"/>
      <color rgb="FFC9A96E"/>
      <name val="Open Sans"/>
      <family val="2"/>
    </font>
    <font>
      <b/>
      <sz val="28"/>
      <color rgb="FFC9A96E"/>
      <name val="Open Sans"/>
      <family val="2"/>
    </font>
    <font>
      <i/>
      <sz val="16"/>
      <color rgb="FFC9A96E"/>
      <name val="Open Sans"/>
      <family val="2"/>
    </font>
    <font>
      <b/>
      <sz val="10"/>
      <color rgb="FF0B2545"/>
      <name val="Open Sans"/>
      <family val="2"/>
    </font>
    <font>
      <b/>
      <sz val="11"/>
      <color rgb="FF0B2545"/>
      <name val="Open Sans"/>
      <family val="2"/>
    </font>
    <font>
      <sz val="11"/>
      <color rgb="FF0B2545"/>
      <name val="Open Sans"/>
      <family val="2"/>
    </font>
    <font>
      <u/>
      <sz val="9"/>
      <color rgb="FFC9A96E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0B2545"/>
        <bgColor indexed="64"/>
      </patternFill>
    </fill>
    <fill>
      <patternFill patternType="solid">
        <fgColor rgb="FFFFFFFF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rgb="FF3271D2"/>
      </bottom>
      <diagonal/>
    </border>
    <border>
      <left/>
      <right/>
      <top style="thin">
        <color rgb="FF3271D2"/>
      </top>
      <bottom style="medium">
        <color rgb="FF3271D2"/>
      </bottom>
      <diagonal/>
    </border>
    <border>
      <left/>
      <right/>
      <top/>
      <bottom style="hair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3271D2"/>
      </left>
      <right/>
      <top style="thin">
        <color rgb="FF3271D2"/>
      </top>
      <bottom/>
      <diagonal/>
    </border>
    <border>
      <left/>
      <right/>
      <top style="thin">
        <color rgb="FF3271D2"/>
      </top>
      <bottom/>
      <diagonal/>
    </border>
    <border>
      <left style="thin">
        <color rgb="FF3271D2"/>
      </left>
      <right/>
      <top/>
      <bottom/>
      <diagonal/>
    </border>
    <border>
      <left/>
      <right style="thin">
        <color rgb="FF3271D2"/>
      </right>
      <top/>
      <bottom/>
      <diagonal/>
    </border>
    <border>
      <left/>
      <right style="thin">
        <color rgb="FF3271D2"/>
      </right>
      <top style="thin">
        <color rgb="FF3271D2"/>
      </top>
      <bottom/>
      <diagonal/>
    </border>
    <border>
      <left style="thin">
        <color rgb="FF3271D2"/>
      </left>
      <right/>
      <top/>
      <bottom style="medium">
        <color rgb="FF3271D2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3271D2"/>
      </bottom>
      <diagonal/>
    </border>
    <border diagonalUp="1" diagonalDown="1">
      <left/>
      <right/>
      <top style="thin">
        <color rgb="FF000000"/>
      </top>
      <bottom/>
      <diagonal style="thin">
        <color auto="1"/>
      </diagonal>
    </border>
    <border diagonalUp="1" diagonalDown="1">
      <left/>
      <right/>
      <top/>
      <bottom style="thin">
        <color rgb="FF000000"/>
      </bottom>
      <diagonal style="thin">
        <color auto="1"/>
      </diagonal>
    </border>
    <border diagonalUp="1" diagonalDown="1">
      <left style="thin">
        <color rgb="FF000000"/>
      </left>
      <right/>
      <top style="thin">
        <color rgb="FF000000"/>
      </top>
      <bottom/>
      <diagonal style="thin">
        <color auto="1"/>
      </diagonal>
    </border>
    <border diagonalUp="1" diagonalDown="1">
      <left style="thin">
        <color rgb="FF000000"/>
      </left>
      <right/>
      <top/>
      <bottom style="thin">
        <color rgb="FF000000"/>
      </bottom>
      <diagonal style="thin">
        <color auto="1"/>
      </diagonal>
    </border>
    <border diagonalUp="1" diagonalDown="1">
      <left/>
      <right style="thin">
        <color rgb="FF000000"/>
      </right>
      <top style="thin">
        <color rgb="FF000000"/>
      </top>
      <bottom/>
      <diagonal style="thin">
        <color auto="1"/>
      </diagonal>
    </border>
    <border diagonalUp="1" diagonalDown="1">
      <left/>
      <right style="thin">
        <color rgb="FF000000"/>
      </right>
      <top/>
      <bottom style="thin">
        <color rgb="FF000000"/>
      </bottom>
      <diagonal style="thin">
        <color auto="1"/>
      </diagonal>
    </border>
    <border>
      <left/>
      <right/>
      <top style="thick">
        <color rgb="FF0B2545"/>
      </top>
      <bottom/>
      <diagonal/>
    </border>
    <border>
      <left/>
      <right/>
      <top/>
      <bottom style="thick">
        <color rgb="FF0B2545"/>
      </bottom>
      <diagonal/>
    </border>
    <border>
      <left/>
      <right style="thin">
        <color rgb="FF000000"/>
      </right>
      <top/>
      <bottom style="thick">
        <color rgb="FF0B2545"/>
      </bottom>
      <diagonal/>
    </border>
    <border>
      <left style="thick">
        <color rgb="FF0B2545"/>
      </left>
      <right/>
      <top style="thick">
        <color rgb="FF0B2545"/>
      </top>
      <bottom/>
      <diagonal/>
    </border>
    <border>
      <left style="thick">
        <color rgb="FF0B2545"/>
      </left>
      <right/>
      <top/>
      <bottom/>
      <diagonal/>
    </border>
    <border>
      <left style="thick">
        <color rgb="FF0B2545"/>
      </left>
      <right/>
      <top/>
      <bottom style="thick">
        <color rgb="FF0B2545"/>
      </bottom>
      <diagonal/>
    </border>
    <border>
      <left/>
      <right style="thick">
        <color rgb="FF0B2545"/>
      </right>
      <top style="thick">
        <color rgb="FF0B2545"/>
      </top>
      <bottom/>
      <diagonal/>
    </border>
    <border>
      <left/>
      <right style="thick">
        <color rgb="FF0B2545"/>
      </right>
      <top/>
      <bottom/>
      <diagonal/>
    </border>
    <border>
      <left style="thin">
        <color rgb="FF3271D2"/>
      </left>
      <right style="thick">
        <color rgb="FF0B2545"/>
      </right>
      <top style="thin">
        <color rgb="FF3271D2"/>
      </top>
      <bottom/>
      <diagonal/>
    </border>
    <border>
      <left/>
      <right style="thick">
        <color rgb="FF0B2545"/>
      </right>
      <top style="thin">
        <color rgb="FF3271D2"/>
      </top>
      <bottom/>
      <diagonal/>
    </border>
    <border>
      <left style="thin">
        <color rgb="FF3271D2"/>
      </left>
      <right style="thick">
        <color rgb="FF0B2545"/>
      </right>
      <top/>
      <bottom style="medium">
        <color rgb="FF3271D2"/>
      </bottom>
      <diagonal/>
    </border>
    <border>
      <left/>
      <right style="thick">
        <color rgb="FF0B2545"/>
      </right>
      <top/>
      <bottom style="hair">
        <color rgb="FF000000"/>
      </bottom>
      <diagonal/>
    </border>
    <border>
      <left/>
      <right style="thick">
        <color rgb="FF0B2545"/>
      </right>
      <top/>
      <bottom style="thick">
        <color rgb="FF0B2545"/>
      </bottom>
      <diagonal/>
    </border>
    <border>
      <left/>
      <right/>
      <top style="medium">
        <color rgb="FF0B2545"/>
      </top>
      <bottom/>
      <diagonal/>
    </border>
    <border>
      <left/>
      <right/>
      <top/>
      <bottom style="thin">
        <color rgb="FF0B2545"/>
      </bottom>
      <diagonal/>
    </border>
    <border>
      <left/>
      <right/>
      <top style="thin">
        <color rgb="FF0B2545"/>
      </top>
      <bottom style="medium">
        <color rgb="FF0B2545"/>
      </bottom>
      <diagonal/>
    </border>
    <border>
      <left/>
      <right style="thick">
        <color rgb="FF0B2545"/>
      </right>
      <top style="thin">
        <color rgb="FF0B2545"/>
      </top>
      <bottom style="thin">
        <color rgb="FF0B2545"/>
      </bottom>
      <diagonal/>
    </border>
    <border>
      <left/>
      <right style="thick">
        <color rgb="FF0B2545"/>
      </right>
      <top/>
      <bottom style="thin">
        <color rgb="FF0B2545"/>
      </bottom>
      <diagonal/>
    </border>
    <border>
      <left/>
      <right/>
      <top style="thin">
        <color rgb="FF0B2545"/>
      </top>
      <bottom style="thin">
        <color rgb="FF0B2545"/>
      </bottom>
      <diagonal/>
    </border>
    <border>
      <left/>
      <right/>
      <top style="thin">
        <color rgb="FF0B2545"/>
      </top>
      <bottom style="thick">
        <color rgb="FF0B2545"/>
      </bottom>
      <diagonal/>
    </border>
  </borders>
  <cellStyleXfs count="12">
    <xf numFmtId="0" fontId="0" fillId="0" borderId="0"/>
    <xf numFmtId="9" fontId="10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0" fillId="0" borderId="0"/>
    <xf numFmtId="164" fontId="15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/>
    <xf numFmtId="189" fontId="10" fillId="0" borderId="0" applyFont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</cellStyleXfs>
  <cellXfs count="447">
    <xf numFmtId="0" fontId="0" fillId="0" borderId="0" xfId="0"/>
    <xf numFmtId="37" fontId="17" fillId="0" borderId="0" xfId="0" applyNumberFormat="1" applyFont="1" applyAlignment="1">
      <alignment vertical="center"/>
    </xf>
    <xf numFmtId="0" fontId="20" fillId="0" borderId="0" xfId="0" applyFont="1"/>
    <xf numFmtId="0" fontId="22" fillId="0" borderId="4" xfId="0" applyFont="1" applyBorder="1"/>
    <xf numFmtId="168" fontId="21" fillId="0" borderId="4" xfId="0" applyNumberFormat="1" applyFont="1" applyBorder="1"/>
    <xf numFmtId="0" fontId="26" fillId="0" borderId="0" xfId="0" applyFont="1" applyAlignment="1">
      <alignment horizontal="left"/>
    </xf>
    <xf numFmtId="0" fontId="19" fillId="0" borderId="4" xfId="0" applyFont="1" applyBorder="1"/>
    <xf numFmtId="169" fontId="19" fillId="0" borderId="4" xfId="0" applyNumberFormat="1" applyFont="1" applyBorder="1"/>
    <xf numFmtId="0" fontId="22" fillId="0" borderId="8" xfId="0" applyFont="1" applyBorder="1" applyAlignment="1">
      <alignment horizontal="left"/>
    </xf>
    <xf numFmtId="0" fontId="22" fillId="0" borderId="13" xfId="0" applyFont="1" applyBorder="1" applyAlignment="1">
      <alignment horizontal="left"/>
    </xf>
    <xf numFmtId="0" fontId="16" fillId="0" borderId="0" xfId="0" applyFont="1"/>
    <xf numFmtId="0" fontId="16" fillId="0" borderId="0" xfId="4" applyFont="1"/>
    <xf numFmtId="165" fontId="32" fillId="0" borderId="0" xfId="2" applyNumberFormat="1" applyFont="1" applyFill="1" applyBorder="1" applyAlignment="1" applyProtection="1">
      <alignment horizontal="left"/>
      <protection locked="0"/>
    </xf>
    <xf numFmtId="0" fontId="16" fillId="0" borderId="4" xfId="0" applyFont="1" applyBorder="1"/>
    <xf numFmtId="178" fontId="32" fillId="0" borderId="0" xfId="2" applyNumberFormat="1" applyFont="1" applyFill="1" applyBorder="1" applyAlignment="1" applyProtection="1">
      <alignment horizontal="center"/>
      <protection locked="0"/>
    </xf>
    <xf numFmtId="0" fontId="30" fillId="0" borderId="0" xfId="3" applyFont="1" applyFill="1" applyBorder="1"/>
    <xf numFmtId="0" fontId="16" fillId="0" borderId="15" xfId="4" applyFont="1" applyBorder="1" applyAlignment="1">
      <alignment horizontal="centerContinuous"/>
    </xf>
    <xf numFmtId="0" fontId="37" fillId="0" borderId="0" xfId="0" applyFont="1" applyAlignment="1">
      <alignment horizontal="left"/>
    </xf>
    <xf numFmtId="179" fontId="38" fillId="0" borderId="0" xfId="5" applyNumberFormat="1" applyFont="1" applyAlignment="1" applyProtection="1">
      <alignment horizontal="center"/>
      <protection locked="0"/>
    </xf>
    <xf numFmtId="0" fontId="9" fillId="0" borderId="15" xfId="4" applyFont="1" applyBorder="1" applyAlignment="1">
      <alignment horizontal="centerContinuous"/>
    </xf>
    <xf numFmtId="168" fontId="27" fillId="0" borderId="0" xfId="6" applyNumberFormat="1" applyFont="1" applyFill="1" applyBorder="1" applyAlignment="1">
      <alignment horizontal="right"/>
    </xf>
    <xf numFmtId="180" fontId="32" fillId="0" borderId="0" xfId="2" applyNumberFormat="1" applyFont="1" applyFill="1" applyBorder="1" applyAlignment="1" applyProtection="1">
      <alignment horizontal="center"/>
      <protection locked="0"/>
    </xf>
    <xf numFmtId="170" fontId="23" fillId="0" borderId="16" xfId="0" applyNumberFormat="1" applyFont="1" applyBorder="1" applyAlignment="1">
      <alignment horizontal="right" vertical="center"/>
    </xf>
    <xf numFmtId="168" fontId="19" fillId="0" borderId="0" xfId="1" applyNumberFormat="1" applyFont="1" applyFill="1" applyBorder="1" applyAlignment="1">
      <alignment horizontal="right"/>
    </xf>
    <xf numFmtId="166" fontId="23" fillId="0" borderId="2" xfId="0" applyNumberFormat="1" applyFont="1" applyBorder="1" applyAlignment="1">
      <alignment horizontal="right" vertical="center"/>
    </xf>
    <xf numFmtId="167" fontId="23" fillId="0" borderId="3" xfId="0" applyNumberFormat="1" applyFont="1" applyBorder="1" applyAlignment="1">
      <alignment horizontal="right" vertical="center"/>
    </xf>
    <xf numFmtId="168" fontId="23" fillId="0" borderId="5" xfId="0" applyNumberFormat="1" applyFont="1" applyBorder="1" applyAlignment="1">
      <alignment horizontal="right" vertical="center"/>
    </xf>
    <xf numFmtId="170" fontId="21" fillId="0" borderId="9" xfId="0" applyNumberFormat="1" applyFont="1" applyBorder="1"/>
    <xf numFmtId="169" fontId="23" fillId="0" borderId="16" xfId="0" applyNumberFormat="1" applyFont="1" applyBorder="1" applyAlignment="1">
      <alignment horizontal="right" vertical="center"/>
    </xf>
    <xf numFmtId="169" fontId="21" fillId="0" borderId="9" xfId="0" applyNumberFormat="1" applyFont="1" applyBorder="1"/>
    <xf numFmtId="0" fontId="33" fillId="0" borderId="0" xfId="0" applyFont="1"/>
    <xf numFmtId="169" fontId="33" fillId="0" borderId="0" xfId="0" applyNumberFormat="1" applyFont="1"/>
    <xf numFmtId="168" fontId="23" fillId="0" borderId="0" xfId="0" applyNumberFormat="1" applyFont="1" applyAlignment="1">
      <alignment horizontal="left"/>
    </xf>
    <xf numFmtId="0" fontId="16" fillId="0" borderId="9" xfId="0" applyFont="1" applyBorder="1"/>
    <xf numFmtId="0" fontId="13" fillId="0" borderId="0" xfId="0" applyFont="1"/>
    <xf numFmtId="171" fontId="21" fillId="0" borderId="0" xfId="1" applyNumberFormat="1" applyFont="1" applyFill="1" applyBorder="1" applyAlignment="1">
      <alignment horizontal="right" vertical="center"/>
    </xf>
    <xf numFmtId="0" fontId="22" fillId="0" borderId="11" xfId="0" applyFont="1" applyBorder="1" applyAlignment="1">
      <alignment horizontal="left"/>
    </xf>
    <xf numFmtId="0" fontId="22" fillId="0" borderId="8" xfId="0" applyFont="1" applyBorder="1" applyAlignment="1">
      <alignment horizontal="left" indent="1"/>
    </xf>
    <xf numFmtId="0" fontId="21" fillId="0" borderId="11" xfId="0" applyFont="1" applyBorder="1" applyAlignment="1">
      <alignment horizontal="left" indent="1"/>
    </xf>
    <xf numFmtId="0" fontId="22" fillId="0" borderId="13" xfId="0" applyFont="1" applyBorder="1" applyAlignment="1">
      <alignment horizontal="left" indent="1"/>
    </xf>
    <xf numFmtId="0" fontId="22" fillId="0" borderId="11" xfId="0" applyFont="1" applyBorder="1" applyAlignment="1">
      <alignment horizontal="left" indent="1"/>
    </xf>
    <xf numFmtId="182" fontId="32" fillId="0" borderId="0" xfId="2" applyNumberFormat="1" applyFont="1" applyFill="1" applyBorder="1" applyAlignment="1" applyProtection="1">
      <alignment horizontal="center"/>
      <protection locked="0"/>
    </xf>
    <xf numFmtId="0" fontId="22" fillId="0" borderId="0" xfId="4" applyFont="1" applyAlignment="1">
      <alignment horizontal="center"/>
    </xf>
    <xf numFmtId="172" fontId="37" fillId="0" borderId="0" xfId="0" applyNumberFormat="1" applyFont="1" applyAlignment="1">
      <alignment horizontal="left"/>
    </xf>
    <xf numFmtId="0" fontId="22" fillId="0" borderId="0" xfId="4" applyFont="1"/>
    <xf numFmtId="0" fontId="44" fillId="0" borderId="0" xfId="4" applyFont="1"/>
    <xf numFmtId="0" fontId="8" fillId="0" borderId="0" xfId="4" applyFont="1"/>
    <xf numFmtId="170" fontId="21" fillId="0" borderId="4" xfId="0" applyNumberFormat="1" applyFont="1" applyBorder="1" applyAlignment="1">
      <alignment horizontal="right"/>
    </xf>
    <xf numFmtId="0" fontId="35" fillId="0" borderId="0" xfId="4" applyFont="1"/>
    <xf numFmtId="176" fontId="21" fillId="0" borderId="0" xfId="4" applyNumberFormat="1" applyFont="1" applyAlignment="1">
      <alignment horizontal="right"/>
    </xf>
    <xf numFmtId="181" fontId="8" fillId="0" borderId="0" xfId="4" applyNumberFormat="1" applyFont="1"/>
    <xf numFmtId="0" fontId="8" fillId="0" borderId="4" xfId="4" applyFont="1" applyBorder="1"/>
    <xf numFmtId="0" fontId="19" fillId="0" borderId="13" xfId="0" applyFont="1" applyBorder="1" applyAlignment="1">
      <alignment horizontal="left"/>
    </xf>
    <xf numFmtId="181" fontId="21" fillId="0" borderId="0" xfId="1" applyNumberFormat="1" applyFont="1" applyFill="1" applyBorder="1" applyAlignment="1">
      <alignment horizontal="right" vertical="center"/>
    </xf>
    <xf numFmtId="0" fontId="7" fillId="0" borderId="0" xfId="0" applyFont="1"/>
    <xf numFmtId="171" fontId="21" fillId="0" borderId="10" xfId="0" applyNumberFormat="1" applyFont="1" applyBorder="1"/>
    <xf numFmtId="171" fontId="47" fillId="0" borderId="0" xfId="1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horizontal="left" indent="1"/>
    </xf>
    <xf numFmtId="171" fontId="21" fillId="0" borderId="7" xfId="0" applyNumberFormat="1" applyFont="1" applyBorder="1"/>
    <xf numFmtId="168" fontId="49" fillId="0" borderId="18" xfId="0" applyNumberFormat="1" applyFont="1" applyBorder="1" applyAlignment="1">
      <alignment horizontal="centerContinuous"/>
    </xf>
    <xf numFmtId="166" fontId="49" fillId="0" borderId="19" xfId="0" applyNumberFormat="1" applyFont="1" applyBorder="1" applyAlignment="1">
      <alignment horizontal="centerContinuous"/>
    </xf>
    <xf numFmtId="0" fontId="50" fillId="0" borderId="18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188" fontId="21" fillId="0" borderId="20" xfId="0" applyNumberFormat="1" applyFont="1" applyBorder="1" applyAlignment="1">
      <alignment horizontal="center"/>
    </xf>
    <xf numFmtId="168" fontId="49" fillId="0" borderId="18" xfId="0" applyNumberFormat="1" applyFont="1" applyBorder="1" applyAlignment="1">
      <alignment horizontal="center"/>
    </xf>
    <xf numFmtId="188" fontId="21" fillId="0" borderId="21" xfId="0" applyNumberFormat="1" applyFont="1" applyBorder="1" applyAlignment="1">
      <alignment horizontal="center"/>
    </xf>
    <xf numFmtId="0" fontId="50" fillId="0" borderId="22" xfId="0" applyFont="1" applyBorder="1" applyAlignment="1">
      <alignment horizontal="center"/>
    </xf>
    <xf numFmtId="188" fontId="21" fillId="0" borderId="23" xfId="0" applyNumberFormat="1" applyFont="1" applyBorder="1" applyAlignment="1">
      <alignment horizontal="center"/>
    </xf>
    <xf numFmtId="188" fontId="21" fillId="0" borderId="2" xfId="0" applyNumberFormat="1" applyFont="1" applyBorder="1" applyAlignment="1">
      <alignment horizontal="center"/>
    </xf>
    <xf numFmtId="168" fontId="6" fillId="0" borderId="4" xfId="0" applyNumberFormat="1" applyFont="1" applyBorder="1"/>
    <xf numFmtId="168" fontId="16" fillId="0" borderId="4" xfId="0" applyNumberFormat="1" applyFont="1" applyBorder="1"/>
    <xf numFmtId="0" fontId="6" fillId="0" borderId="4" xfId="0" applyFont="1" applyBorder="1"/>
    <xf numFmtId="0" fontId="7" fillId="0" borderId="4" xfId="0" applyFont="1" applyBorder="1"/>
    <xf numFmtId="166" fontId="23" fillId="0" borderId="4" xfId="0" applyNumberFormat="1" applyFont="1" applyBorder="1" applyAlignment="1">
      <alignment horizontal="right" vertical="center"/>
    </xf>
    <xf numFmtId="170" fontId="7" fillId="0" borderId="4" xfId="0" applyNumberFormat="1" applyFont="1" applyBorder="1" applyAlignment="1">
      <alignment vertical="center"/>
    </xf>
    <xf numFmtId="0" fontId="19" fillId="0" borderId="4" xfId="0" applyFont="1" applyBorder="1" applyAlignment="1">
      <alignment horizontal="left" indent="1"/>
    </xf>
    <xf numFmtId="173" fontId="13" fillId="0" borderId="4" xfId="0" applyNumberFormat="1" applyFont="1" applyBorder="1"/>
    <xf numFmtId="0" fontId="16" fillId="0" borderId="4" xfId="0" applyFont="1" applyBorder="1" applyAlignment="1">
      <alignment horizontal="left" indent="1"/>
    </xf>
    <xf numFmtId="168" fontId="16" fillId="0" borderId="4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horizontal="right"/>
    </xf>
    <xf numFmtId="0" fontId="23" fillId="0" borderId="4" xfId="0" applyFont="1" applyBorder="1" applyAlignment="1">
      <alignment horizontal="left" indent="1"/>
    </xf>
    <xf numFmtId="171" fontId="21" fillId="0" borderId="4" xfId="1" applyNumberFormat="1" applyFont="1" applyFill="1" applyBorder="1" applyAlignment="1">
      <alignment horizontal="right" vertical="center"/>
    </xf>
    <xf numFmtId="168" fontId="7" fillId="0" borderId="4" xfId="0" applyNumberFormat="1" applyFont="1" applyBorder="1"/>
    <xf numFmtId="181" fontId="8" fillId="0" borderId="4" xfId="4" applyNumberFormat="1" applyFont="1" applyBorder="1" applyAlignment="1">
      <alignment horizontal="right" vertical="center"/>
    </xf>
    <xf numFmtId="185" fontId="8" fillId="0" borderId="4" xfId="4" applyNumberFormat="1" applyFont="1" applyBorder="1" applyAlignment="1">
      <alignment horizontal="right"/>
    </xf>
    <xf numFmtId="0" fontId="5" fillId="0" borderId="0" xfId="0" applyFont="1"/>
    <xf numFmtId="171" fontId="5" fillId="0" borderId="15" xfId="0" applyNumberFormat="1" applyFont="1" applyBorder="1"/>
    <xf numFmtId="171" fontId="5" fillId="0" borderId="25" xfId="0" applyNumberFormat="1" applyFont="1" applyBorder="1"/>
    <xf numFmtId="174" fontId="5" fillId="0" borderId="0" xfId="0" applyNumberFormat="1" applyFont="1"/>
    <xf numFmtId="174" fontId="5" fillId="0" borderId="17" xfId="0" applyNumberFormat="1" applyFont="1" applyBorder="1"/>
    <xf numFmtId="0" fontId="3" fillId="0" borderId="8" xfId="0" applyFont="1" applyBorder="1"/>
    <xf numFmtId="0" fontId="3" fillId="0" borderId="11" xfId="0" applyFont="1" applyBorder="1"/>
    <xf numFmtId="0" fontId="16" fillId="0" borderId="11" xfId="0" applyFont="1" applyBorder="1"/>
    <xf numFmtId="0" fontId="52" fillId="0" borderId="11" xfId="0" applyFont="1" applyBorder="1"/>
    <xf numFmtId="0" fontId="23" fillId="0" borderId="26" xfId="0" applyFont="1" applyBorder="1" applyAlignment="1">
      <alignment horizontal="centerContinuous" vertical="center"/>
    </xf>
    <xf numFmtId="0" fontId="35" fillId="0" borderId="26" xfId="0" applyFont="1" applyBorder="1" applyAlignment="1">
      <alignment horizontal="centerContinuous"/>
    </xf>
    <xf numFmtId="181" fontId="5" fillId="0" borderId="15" xfId="0" applyNumberFormat="1" applyFont="1" applyBorder="1"/>
    <xf numFmtId="168" fontId="21" fillId="0" borderId="27" xfId="0" applyNumberFormat="1" applyFont="1" applyBorder="1" applyAlignment="1">
      <alignment vertical="center"/>
    </xf>
    <xf numFmtId="168" fontId="21" fillId="0" borderId="28" xfId="0" applyNumberFormat="1" applyFont="1" applyBorder="1" applyAlignment="1">
      <alignment vertical="center"/>
    </xf>
    <xf numFmtId="168" fontId="21" fillId="0" borderId="29" xfId="0" applyNumberFormat="1" applyFont="1" applyBorder="1" applyAlignment="1">
      <alignment vertical="center"/>
    </xf>
    <xf numFmtId="168" fontId="21" fillId="0" borderId="30" xfId="0" applyNumberFormat="1" applyFont="1" applyBorder="1" applyAlignment="1">
      <alignment vertical="center"/>
    </xf>
    <xf numFmtId="168" fontId="21" fillId="0" borderId="31" xfId="0" applyNumberFormat="1" applyFont="1" applyBorder="1" applyAlignment="1">
      <alignment vertical="center"/>
    </xf>
    <xf numFmtId="168" fontId="21" fillId="0" borderId="32" xfId="0" applyNumberFormat="1" applyFont="1" applyBorder="1" applyAlignment="1">
      <alignment vertical="center"/>
    </xf>
    <xf numFmtId="0" fontId="54" fillId="0" borderId="4" xfId="0" applyFont="1" applyBorder="1"/>
    <xf numFmtId="0" fontId="52" fillId="0" borderId="13" xfId="0" applyFont="1" applyBorder="1" applyAlignment="1">
      <alignment horizontal="left" indent="1"/>
    </xf>
    <xf numFmtId="174" fontId="5" fillId="0" borderId="24" xfId="0" applyNumberFormat="1" applyFont="1" applyBorder="1"/>
    <xf numFmtId="168" fontId="3" fillId="0" borderId="10" xfId="0" applyNumberFormat="1" applyFont="1" applyBorder="1"/>
    <xf numFmtId="168" fontId="3" fillId="0" borderId="12" xfId="0" applyNumberFormat="1" applyFont="1" applyBorder="1"/>
    <xf numFmtId="171" fontId="52" fillId="0" borderId="12" xfId="0" applyNumberFormat="1" applyFont="1" applyBorder="1"/>
    <xf numFmtId="0" fontId="16" fillId="0" borderId="12" xfId="0" applyFont="1" applyBorder="1"/>
    <xf numFmtId="168" fontId="3" fillId="0" borderId="12" xfId="0" applyNumberFormat="1" applyFont="1" applyBorder="1" applyAlignment="1">
      <alignment vertical="center"/>
    </xf>
    <xf numFmtId="181" fontId="52" fillId="0" borderId="14" xfId="0" applyNumberFormat="1" applyFont="1" applyBorder="1" applyAlignment="1">
      <alignment vertical="center"/>
    </xf>
    <xf numFmtId="49" fontId="52" fillId="0" borderId="13" xfId="0" applyNumberFormat="1" applyFont="1" applyBorder="1"/>
    <xf numFmtId="49" fontId="52" fillId="0" borderId="11" xfId="0" applyNumberFormat="1" applyFont="1" applyBorder="1"/>
    <xf numFmtId="181" fontId="52" fillId="0" borderId="12" xfId="0" applyNumberFormat="1" applyFont="1" applyBorder="1" applyAlignment="1">
      <alignment vertical="center"/>
    </xf>
    <xf numFmtId="170" fontId="21" fillId="0" borderId="16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71" fontId="23" fillId="0" borderId="14" xfId="0" applyNumberFormat="1" applyFont="1" applyBorder="1"/>
    <xf numFmtId="171" fontId="21" fillId="0" borderId="12" xfId="0" applyNumberFormat="1" applyFont="1" applyBorder="1"/>
    <xf numFmtId="168" fontId="23" fillId="0" borderId="9" xfId="0" applyNumberFormat="1" applyFont="1" applyBorder="1" applyAlignment="1">
      <alignment vertical="center"/>
    </xf>
    <xf numFmtId="168" fontId="21" fillId="0" borderId="9" xfId="0" applyNumberFormat="1" applyFont="1" applyBorder="1" applyAlignment="1">
      <alignment vertical="center"/>
    </xf>
    <xf numFmtId="187" fontId="21" fillId="0" borderId="4" xfId="0" applyNumberFormat="1" applyFont="1" applyBorder="1" applyAlignment="1">
      <alignment vertical="center"/>
    </xf>
    <xf numFmtId="168" fontId="21" fillId="0" borderId="10" xfId="0" applyNumberFormat="1" applyFont="1" applyBorder="1"/>
    <xf numFmtId="168" fontId="21" fillId="0" borderId="14" xfId="0" applyNumberFormat="1" applyFont="1" applyBorder="1"/>
    <xf numFmtId="174" fontId="21" fillId="0" borderId="12" xfId="0" applyNumberFormat="1" applyFont="1" applyBorder="1"/>
    <xf numFmtId="175" fontId="52" fillId="0" borderId="14" xfId="0" applyNumberFormat="1" applyFont="1" applyBorder="1"/>
    <xf numFmtId="187" fontId="3" fillId="0" borderId="4" xfId="0" applyNumberFormat="1" applyFont="1" applyBorder="1"/>
    <xf numFmtId="174" fontId="6" fillId="0" borderId="17" xfId="0" applyNumberFormat="1" applyFont="1" applyBorder="1"/>
    <xf numFmtId="173" fontId="6" fillId="0" borderId="17" xfId="0" applyNumberFormat="1" applyFont="1" applyBorder="1"/>
    <xf numFmtId="168" fontId="63" fillId="0" borderId="4" xfId="0" applyNumberFormat="1" applyFont="1" applyBorder="1" applyAlignment="1">
      <alignment horizontal="right"/>
    </xf>
    <xf numFmtId="171" fontId="63" fillId="0" borderId="10" xfId="0" applyNumberFormat="1" applyFont="1" applyBorder="1"/>
    <xf numFmtId="187" fontId="63" fillId="0" borderId="12" xfId="0" applyNumberFormat="1" applyFont="1" applyBorder="1"/>
    <xf numFmtId="171" fontId="63" fillId="0" borderId="12" xfId="0" applyNumberFormat="1" applyFont="1" applyBorder="1"/>
    <xf numFmtId="171" fontId="63" fillId="0" borderId="14" xfId="0" applyNumberFormat="1" applyFont="1" applyBorder="1"/>
    <xf numFmtId="181" fontId="63" fillId="0" borderId="14" xfId="1" applyNumberFormat="1" applyFont="1" applyFill="1" applyBorder="1" applyAlignment="1">
      <alignment horizontal="right" vertical="center"/>
    </xf>
    <xf numFmtId="181" fontId="63" fillId="0" borderId="0" xfId="1" applyNumberFormat="1" applyFont="1" applyFill="1" applyBorder="1" applyAlignment="1">
      <alignment horizontal="right" vertical="center"/>
    </xf>
    <xf numFmtId="168" fontId="63" fillId="0" borderId="12" xfId="0" applyNumberFormat="1" applyFont="1" applyBorder="1"/>
    <xf numFmtId="174" fontId="63" fillId="0" borderId="12" xfId="0" applyNumberFormat="1" applyFont="1" applyBorder="1"/>
    <xf numFmtId="188" fontId="63" fillId="0" borderId="20" xfId="0" applyNumberFormat="1" applyFont="1" applyBorder="1" applyAlignment="1">
      <alignment horizontal="center"/>
    </xf>
    <xf numFmtId="188" fontId="63" fillId="0" borderId="23" xfId="0" applyNumberFormat="1" applyFont="1" applyBorder="1" applyAlignment="1">
      <alignment horizontal="center"/>
    </xf>
    <xf numFmtId="171" fontId="63" fillId="0" borderId="15" xfId="0" applyNumberFormat="1" applyFont="1" applyBorder="1"/>
    <xf numFmtId="171" fontId="63" fillId="0" borderId="25" xfId="0" applyNumberFormat="1" applyFont="1" applyBorder="1"/>
    <xf numFmtId="181" fontId="63" fillId="0" borderId="15" xfId="0" applyNumberFormat="1" applyFont="1" applyBorder="1"/>
    <xf numFmtId="170" fontId="63" fillId="0" borderId="4" xfId="0" applyNumberFormat="1" applyFont="1" applyBorder="1" applyAlignment="1">
      <alignment horizontal="right"/>
    </xf>
    <xf numFmtId="0" fontId="64" fillId="0" borderId="15" xfId="4" applyFont="1" applyBorder="1" applyAlignment="1" applyProtection="1">
      <alignment horizontal="centerContinuous"/>
      <protection locked="0"/>
    </xf>
    <xf numFmtId="0" fontId="63" fillId="0" borderId="0" xfId="3" applyFont="1" applyFill="1" applyBorder="1" applyProtection="1">
      <protection locked="0"/>
    </xf>
    <xf numFmtId="0" fontId="67" fillId="0" borderId="0" xfId="2" applyFont="1" applyFill="1" applyBorder="1" applyProtection="1">
      <protection locked="0"/>
    </xf>
    <xf numFmtId="0" fontId="20" fillId="0" borderId="0" xfId="0" applyFont="1" applyBorder="1"/>
    <xf numFmtId="0" fontId="21" fillId="0" borderId="0" xfId="0" applyFont="1" applyBorder="1" applyAlignment="1">
      <alignment horizontal="left"/>
    </xf>
    <xf numFmtId="37" fontId="11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horizontal="center"/>
    </xf>
    <xf numFmtId="166" fontId="19" fillId="0" borderId="0" xfId="0" applyNumberFormat="1" applyFont="1" applyBorder="1" applyAlignment="1">
      <alignment horizontal="right"/>
    </xf>
    <xf numFmtId="168" fontId="63" fillId="0" borderId="0" xfId="0" applyNumberFormat="1" applyFont="1" applyBorder="1"/>
    <xf numFmtId="168" fontId="22" fillId="0" borderId="0" xfId="0" applyNumberFormat="1" applyFont="1" applyBorder="1"/>
    <xf numFmtId="0" fontId="26" fillId="0" borderId="0" xfId="0" applyFont="1" applyBorder="1" applyAlignment="1">
      <alignment horizontal="left"/>
    </xf>
    <xf numFmtId="37" fontId="17" fillId="0" borderId="0" xfId="0" applyNumberFormat="1" applyFont="1" applyBorder="1" applyAlignment="1">
      <alignment vertical="center"/>
    </xf>
    <xf numFmtId="37" fontId="64" fillId="0" borderId="0" xfId="0" applyNumberFormat="1" applyFont="1" applyBorder="1" applyAlignment="1">
      <alignment vertical="center"/>
    </xf>
    <xf numFmtId="37" fontId="12" fillId="0" borderId="0" xfId="0" applyNumberFormat="1" applyFont="1" applyBorder="1" applyAlignment="1">
      <alignment vertical="center"/>
    </xf>
    <xf numFmtId="166" fontId="11" fillId="0" borderId="0" xfId="0" applyNumberFormat="1" applyFont="1" applyBorder="1" applyAlignment="1">
      <alignment horizontal="right"/>
    </xf>
    <xf numFmtId="165" fontId="18" fillId="0" borderId="0" xfId="0" applyNumberFormat="1" applyFont="1" applyBorder="1" applyAlignment="1">
      <alignment vertical="center"/>
    </xf>
    <xf numFmtId="167" fontId="19" fillId="0" borderId="0" xfId="0" applyNumberFormat="1" applyFont="1" applyBorder="1" applyAlignment="1">
      <alignment horizontal="right"/>
    </xf>
    <xf numFmtId="0" fontId="16" fillId="0" borderId="0" xfId="0" applyFont="1" applyBorder="1"/>
    <xf numFmtId="0" fontId="21" fillId="0" borderId="0" xfId="0" applyFont="1" applyBorder="1" applyAlignment="1">
      <alignment horizontal="left" indent="1"/>
    </xf>
    <xf numFmtId="0" fontId="22" fillId="0" borderId="0" xfId="0" applyFont="1" applyBorder="1"/>
    <xf numFmtId="168" fontId="63" fillId="0" borderId="0" xfId="0" applyNumberFormat="1" applyFont="1" applyBorder="1" applyAlignment="1">
      <alignment horizontal="right"/>
    </xf>
    <xf numFmtId="0" fontId="23" fillId="0" borderId="0" xfId="0" applyFont="1" applyBorder="1" applyAlignment="1">
      <alignment horizontal="left" indent="1"/>
    </xf>
    <xf numFmtId="0" fontId="19" fillId="0" borderId="0" xfId="0" applyFont="1" applyBorder="1"/>
    <xf numFmtId="168" fontId="23" fillId="0" borderId="0" xfId="0" applyNumberFormat="1" applyFont="1" applyBorder="1" applyAlignment="1">
      <alignment horizontal="right"/>
    </xf>
    <xf numFmtId="168" fontId="65" fillId="0" borderId="0" xfId="1" applyNumberFormat="1" applyFont="1" applyFill="1" applyBorder="1" applyAlignment="1">
      <alignment horizontal="right"/>
    </xf>
    <xf numFmtId="168" fontId="19" fillId="0" borderId="0" xfId="0" applyNumberFormat="1" applyFont="1" applyBorder="1" applyAlignment="1">
      <alignment horizontal="right"/>
    </xf>
    <xf numFmtId="168" fontId="65" fillId="0" borderId="0" xfId="0" applyNumberFormat="1" applyFont="1" applyBorder="1" applyAlignment="1">
      <alignment horizontal="right"/>
    </xf>
    <xf numFmtId="175" fontId="63" fillId="0" borderId="0" xfId="0" applyNumberFormat="1" applyFont="1" applyBorder="1" applyAlignment="1">
      <alignment horizontal="right"/>
    </xf>
    <xf numFmtId="168" fontId="22" fillId="0" borderId="0" xfId="0" applyNumberFormat="1" applyFont="1" applyBorder="1" applyAlignment="1">
      <alignment horizontal="right"/>
    </xf>
    <xf numFmtId="169" fontId="19" fillId="0" borderId="0" xfId="0" applyNumberFormat="1" applyFont="1" applyBorder="1"/>
    <xf numFmtId="0" fontId="21" fillId="0" borderId="0" xfId="0" applyFont="1" applyBorder="1"/>
    <xf numFmtId="170" fontId="21" fillId="0" borderId="0" xfId="0" applyNumberFormat="1" applyFont="1" applyBorder="1"/>
    <xf numFmtId="37" fontId="59" fillId="2" borderId="0" xfId="0" applyNumberFormat="1" applyFont="1" applyFill="1" applyBorder="1" applyAlignment="1">
      <alignment vertical="center"/>
    </xf>
    <xf numFmtId="37" fontId="60" fillId="2" borderId="0" xfId="0" applyNumberFormat="1" applyFont="1" applyFill="1" applyBorder="1" applyAlignment="1">
      <alignment vertical="center"/>
    </xf>
    <xf numFmtId="166" fontId="60" fillId="2" borderId="0" xfId="0" applyNumberFormat="1" applyFont="1" applyFill="1" applyBorder="1" applyAlignment="1">
      <alignment horizontal="right"/>
    </xf>
    <xf numFmtId="170" fontId="63" fillId="0" borderId="0" xfId="0" applyNumberFormat="1" applyFont="1" applyBorder="1" applyAlignment="1">
      <alignment horizontal="right"/>
    </xf>
    <xf numFmtId="170" fontId="22" fillId="0" borderId="0" xfId="0" applyNumberFormat="1" applyFont="1" applyBorder="1" applyAlignment="1">
      <alignment horizontal="right"/>
    </xf>
    <xf numFmtId="171" fontId="21" fillId="0" borderId="0" xfId="0" applyNumberFormat="1" applyFont="1" applyBorder="1"/>
    <xf numFmtId="0" fontId="22" fillId="0" borderId="0" xfId="0" applyFont="1" applyBorder="1" applyAlignment="1">
      <alignment horizontal="left" indent="1"/>
    </xf>
    <xf numFmtId="170" fontId="63" fillId="0" borderId="0" xfId="0" applyNumberFormat="1" applyFont="1" applyBorder="1"/>
    <xf numFmtId="0" fontId="22" fillId="0" borderId="0" xfId="0" applyFont="1" applyBorder="1" applyAlignment="1">
      <alignment horizontal="left" indent="2"/>
    </xf>
    <xf numFmtId="170" fontId="22" fillId="0" borderId="0" xfId="0" applyNumberFormat="1" applyFont="1" applyBorder="1"/>
    <xf numFmtId="170" fontId="16" fillId="0" borderId="0" xfId="0" applyNumberFormat="1" applyFont="1" applyBorder="1"/>
    <xf numFmtId="168" fontId="21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left" indent="1"/>
    </xf>
    <xf numFmtId="169" fontId="63" fillId="0" borderId="0" xfId="0" applyNumberFormat="1" applyFont="1" applyBorder="1"/>
    <xf numFmtId="169" fontId="22" fillId="0" borderId="0" xfId="0" applyNumberFormat="1" applyFont="1" applyBorder="1"/>
    <xf numFmtId="169" fontId="65" fillId="0" borderId="0" xfId="0" applyNumberFormat="1" applyFont="1" applyBorder="1"/>
    <xf numFmtId="0" fontId="24" fillId="0" borderId="0" xfId="0" applyFont="1" applyBorder="1" applyAlignment="1">
      <alignment horizontal="left" indent="1"/>
    </xf>
    <xf numFmtId="0" fontId="16" fillId="0" borderId="0" xfId="0" applyFont="1" applyBorder="1" applyAlignment="1">
      <alignment horizontal="left" indent="1"/>
    </xf>
    <xf numFmtId="168" fontId="16" fillId="0" borderId="0" xfId="0" applyNumberFormat="1" applyFont="1" applyBorder="1"/>
    <xf numFmtId="168" fontId="16" fillId="0" borderId="0" xfId="0" applyNumberFormat="1" applyFont="1" applyBorder="1" applyAlignment="1">
      <alignment vertical="center"/>
    </xf>
    <xf numFmtId="0" fontId="7" fillId="0" borderId="0" xfId="0" applyFont="1" applyBorder="1"/>
    <xf numFmtId="0" fontId="28" fillId="0" borderId="0" xfId="0" applyFont="1" applyBorder="1"/>
    <xf numFmtId="168" fontId="7" fillId="0" borderId="0" xfId="0" applyNumberFormat="1" applyFont="1" applyBorder="1"/>
    <xf numFmtId="168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indent="1"/>
    </xf>
    <xf numFmtId="168" fontId="2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indent="1"/>
    </xf>
    <xf numFmtId="175" fontId="21" fillId="0" borderId="0" xfId="0" applyNumberFormat="1" applyFont="1" applyBorder="1" applyAlignment="1">
      <alignment vertical="center"/>
    </xf>
    <xf numFmtId="165" fontId="31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horizontal="right" vertical="center"/>
    </xf>
    <xf numFmtId="167" fontId="23" fillId="0" borderId="0" xfId="0" applyNumberFormat="1" applyFont="1" applyBorder="1" applyAlignment="1">
      <alignment horizontal="right" vertical="center"/>
    </xf>
    <xf numFmtId="170" fontId="21" fillId="0" borderId="0" xfId="0" applyNumberFormat="1" applyFont="1" applyBorder="1" applyAlignment="1">
      <alignment vertical="center"/>
    </xf>
    <xf numFmtId="37" fontId="9" fillId="0" borderId="0" xfId="0" applyNumberFormat="1" applyFont="1" applyBorder="1" applyAlignment="1">
      <alignment vertical="center"/>
    </xf>
    <xf numFmtId="172" fontId="18" fillId="0" borderId="0" xfId="0" applyNumberFormat="1" applyFont="1" applyBorder="1" applyAlignment="1">
      <alignment horizontal="centerContinuous"/>
    </xf>
    <xf numFmtId="172" fontId="19" fillId="0" borderId="0" xfId="0" applyNumberFormat="1" applyFont="1" applyBorder="1" applyAlignment="1">
      <alignment horizontal="centerContinuous"/>
    </xf>
    <xf numFmtId="0" fontId="19" fillId="0" borderId="0" xfId="0" applyFont="1" applyBorder="1" applyAlignment="1">
      <alignment horizontal="left"/>
    </xf>
    <xf numFmtId="171" fontId="46" fillId="0" borderId="0" xfId="0" applyNumberFormat="1" applyFont="1" applyBorder="1"/>
    <xf numFmtId="173" fontId="13" fillId="0" borderId="0" xfId="0" applyNumberFormat="1" applyFont="1" applyBorder="1"/>
    <xf numFmtId="168" fontId="21" fillId="0" borderId="0" xfId="0" applyNumberFormat="1" applyFont="1" applyBorder="1"/>
    <xf numFmtId="168" fontId="23" fillId="0" borderId="0" xfId="0" applyNumberFormat="1" applyFont="1" applyBorder="1"/>
    <xf numFmtId="0" fontId="22" fillId="0" borderId="0" xfId="0" applyFont="1" applyBorder="1" applyAlignment="1">
      <alignment horizontal="left"/>
    </xf>
    <xf numFmtId="0" fontId="28" fillId="0" borderId="0" xfId="0" applyFont="1" applyBorder="1" applyAlignment="1">
      <alignment horizontal="left" indent="1"/>
    </xf>
    <xf numFmtId="168" fontId="28" fillId="0" borderId="0" xfId="0" applyNumberFormat="1" applyFont="1" applyBorder="1" applyAlignment="1">
      <alignment vertical="center"/>
    </xf>
    <xf numFmtId="173" fontId="7" fillId="0" borderId="0" xfId="0" applyNumberFormat="1" applyFont="1" applyBorder="1"/>
    <xf numFmtId="0" fontId="54" fillId="0" borderId="0" xfId="0" applyFont="1" applyBorder="1"/>
    <xf numFmtId="0" fontId="25" fillId="0" borderId="0" xfId="0" quotePrefix="1" applyFont="1" applyBorder="1" applyAlignment="1">
      <alignment horizontal="right"/>
    </xf>
    <xf numFmtId="0" fontId="25" fillId="0" borderId="0" xfId="0" applyFont="1" applyBorder="1" applyAlignment="1">
      <alignment horizontal="right"/>
    </xf>
    <xf numFmtId="168" fontId="54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right"/>
    </xf>
    <xf numFmtId="177" fontId="3" fillId="0" borderId="0" xfId="0" applyNumberFormat="1" applyFont="1" applyBorder="1" applyAlignment="1">
      <alignment horizontal="right"/>
    </xf>
    <xf numFmtId="168" fontId="49" fillId="0" borderId="0" xfId="0" applyNumberFormat="1" applyFont="1" applyBorder="1" applyAlignment="1">
      <alignment horizontal="left"/>
    </xf>
    <xf numFmtId="188" fontId="21" fillId="0" borderId="0" xfId="0" applyNumberFormat="1" applyFont="1" applyBorder="1" applyAlignment="1">
      <alignment horizontal="center"/>
    </xf>
    <xf numFmtId="168" fontId="6" fillId="0" borderId="0" xfId="0" applyNumberFormat="1" applyFont="1" applyBorder="1"/>
    <xf numFmtId="0" fontId="6" fillId="0" borderId="0" xfId="0" applyFont="1" applyBorder="1" applyAlignment="1">
      <alignment horizontal="left" indent="1"/>
    </xf>
    <xf numFmtId="168" fontId="3" fillId="0" borderId="0" xfId="0" applyNumberFormat="1" applyFont="1" applyBorder="1"/>
    <xf numFmtId="0" fontId="4" fillId="0" borderId="0" xfId="0" applyFont="1" applyBorder="1" applyAlignment="1">
      <alignment horizontal="left" indent="1"/>
    </xf>
    <xf numFmtId="0" fontId="6" fillId="0" borderId="0" xfId="0" applyFont="1" applyBorder="1"/>
    <xf numFmtId="173" fontId="6" fillId="0" borderId="0" xfId="0" applyNumberFormat="1" applyFont="1" applyBorder="1"/>
    <xf numFmtId="0" fontId="23" fillId="0" borderId="0" xfId="0" applyFont="1" applyBorder="1" applyAlignment="1">
      <alignment horizontal="centerContinuous" vertical="center"/>
    </xf>
    <xf numFmtId="0" fontId="35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5" fillId="0" borderId="0" xfId="0" applyFont="1" applyBorder="1" applyAlignment="1">
      <alignment horizontal="centerContinuous"/>
    </xf>
    <xf numFmtId="0" fontId="5" fillId="0" borderId="0" xfId="0" applyFont="1" applyBorder="1"/>
    <xf numFmtId="174" fontId="51" fillId="0" borderId="0" xfId="0" applyNumberFormat="1" applyFont="1" applyBorder="1"/>
    <xf numFmtId="0" fontId="5" fillId="0" borderId="0" xfId="0" applyFont="1" applyBorder="1" applyAlignment="1">
      <alignment horizontal="right" vertical="center" textRotation="90"/>
    </xf>
    <xf numFmtId="174" fontId="5" fillId="0" borderId="0" xfId="0" applyNumberFormat="1" applyFont="1" applyBorder="1"/>
    <xf numFmtId="0" fontId="20" fillId="2" borderId="33" xfId="0" applyFont="1" applyFill="1" applyBorder="1"/>
    <xf numFmtId="0" fontId="58" fillId="2" borderId="33" xfId="0" applyFont="1" applyFill="1" applyBorder="1" applyAlignment="1">
      <alignment horizontal="left"/>
    </xf>
    <xf numFmtId="0" fontId="20" fillId="2" borderId="36" xfId="0" applyFont="1" applyFill="1" applyBorder="1"/>
    <xf numFmtId="0" fontId="20" fillId="0" borderId="37" xfId="0" applyFont="1" applyBorder="1"/>
    <xf numFmtId="37" fontId="17" fillId="0" borderId="37" xfId="0" applyNumberFormat="1" applyFont="1" applyBorder="1" applyAlignment="1">
      <alignment vertical="center"/>
    </xf>
    <xf numFmtId="0" fontId="16" fillId="0" borderId="37" xfId="0" applyFont="1" applyBorder="1"/>
    <xf numFmtId="37" fontId="56" fillId="0" borderId="37" xfId="0" applyNumberFormat="1" applyFont="1" applyBorder="1" applyAlignment="1">
      <alignment vertical="center"/>
    </xf>
    <xf numFmtId="0" fontId="7" fillId="0" borderId="37" xfId="0" applyFont="1" applyBorder="1"/>
    <xf numFmtId="0" fontId="13" fillId="0" borderId="37" xfId="0" applyFont="1" applyBorder="1"/>
    <xf numFmtId="0" fontId="5" fillId="0" borderId="37" xfId="0" applyFont="1" applyBorder="1"/>
    <xf numFmtId="0" fontId="20" fillId="2" borderId="39" xfId="0" applyFont="1" applyFill="1" applyBorder="1"/>
    <xf numFmtId="0" fontId="26" fillId="0" borderId="40" xfId="0" applyFont="1" applyBorder="1" applyAlignment="1">
      <alignment horizontal="left"/>
    </xf>
    <xf numFmtId="37" fontId="17" fillId="0" borderId="40" xfId="0" applyNumberFormat="1" applyFont="1" applyBorder="1" applyAlignment="1">
      <alignment vertical="center"/>
    </xf>
    <xf numFmtId="0" fontId="16" fillId="0" borderId="40" xfId="0" applyFont="1" applyBorder="1"/>
    <xf numFmtId="0" fontId="20" fillId="0" borderId="40" xfId="0" applyFont="1" applyBorder="1"/>
    <xf numFmtId="0" fontId="7" fillId="0" borderId="40" xfId="0" applyFont="1" applyBorder="1"/>
    <xf numFmtId="170" fontId="7" fillId="0" borderId="40" xfId="0" applyNumberFormat="1" applyFont="1" applyBorder="1"/>
    <xf numFmtId="0" fontId="13" fillId="0" borderId="40" xfId="0" applyFont="1" applyBorder="1"/>
    <xf numFmtId="10" fontId="16" fillId="0" borderId="40" xfId="0" applyNumberFormat="1" applyFont="1" applyBorder="1"/>
    <xf numFmtId="168" fontId="49" fillId="0" borderId="41" xfId="0" applyNumberFormat="1" applyFont="1" applyBorder="1" applyAlignment="1">
      <alignment horizontal="center"/>
    </xf>
    <xf numFmtId="0" fontId="50" fillId="0" borderId="42" xfId="0" applyFont="1" applyBorder="1" applyAlignment="1">
      <alignment horizontal="center"/>
    </xf>
    <xf numFmtId="188" fontId="21" fillId="0" borderId="40" xfId="0" applyNumberFormat="1" applyFont="1" applyBorder="1" applyAlignment="1">
      <alignment horizontal="center"/>
    </xf>
    <xf numFmtId="188" fontId="21" fillId="0" borderId="43" xfId="0" applyNumberFormat="1" applyFont="1" applyBorder="1" applyAlignment="1">
      <alignment horizontal="center"/>
    </xf>
    <xf numFmtId="168" fontId="16" fillId="0" borderId="40" xfId="0" applyNumberFormat="1" applyFont="1" applyBorder="1"/>
    <xf numFmtId="49" fontId="6" fillId="0" borderId="40" xfId="0" applyNumberFormat="1" applyFont="1" applyBorder="1" applyAlignment="1">
      <alignment horizontal="right"/>
    </xf>
    <xf numFmtId="176" fontId="6" fillId="0" borderId="40" xfId="0" applyNumberFormat="1" applyFont="1" applyBorder="1" applyAlignment="1">
      <alignment horizontal="right"/>
    </xf>
    <xf numFmtId="49" fontId="2" fillId="0" borderId="40" xfId="0" applyNumberFormat="1" applyFont="1" applyBorder="1" applyAlignment="1">
      <alignment horizontal="right"/>
    </xf>
    <xf numFmtId="177" fontId="1" fillId="0" borderId="40" xfId="0" applyNumberFormat="1" applyFont="1" applyBorder="1" applyAlignment="1">
      <alignment horizontal="right"/>
    </xf>
    <xf numFmtId="177" fontId="6" fillId="0" borderId="40" xfId="0" applyNumberFormat="1" applyFont="1" applyBorder="1" applyAlignment="1">
      <alignment horizontal="right"/>
    </xf>
    <xf numFmtId="177" fontId="6" fillId="0" borderId="44" xfId="0" applyNumberFormat="1" applyFont="1" applyBorder="1" applyAlignment="1">
      <alignment horizontal="right"/>
    </xf>
    <xf numFmtId="176" fontId="6" fillId="0" borderId="44" xfId="0" applyNumberFormat="1" applyFont="1" applyBorder="1" applyAlignment="1">
      <alignment horizontal="right"/>
    </xf>
    <xf numFmtId="0" fontId="5" fillId="0" borderId="40" xfId="0" applyFont="1" applyBorder="1"/>
    <xf numFmtId="0" fontId="21" fillId="0" borderId="0" xfId="4" applyFont="1" applyBorder="1" applyAlignment="1">
      <alignment horizontal="center" vertical="center"/>
    </xf>
    <xf numFmtId="0" fontId="23" fillId="0" borderId="0" xfId="4" applyFont="1" applyBorder="1" applyAlignment="1">
      <alignment horizontal="right" vertical="center"/>
    </xf>
    <xf numFmtId="0" fontId="23" fillId="0" borderId="0" xfId="8" applyFont="1" applyBorder="1" applyAlignment="1">
      <alignment horizontal="centerContinuous"/>
    </xf>
    <xf numFmtId="183" fontId="23" fillId="0" borderId="0" xfId="8" applyNumberFormat="1" applyFont="1" applyBorder="1" applyAlignment="1">
      <alignment horizontal="centerContinuous"/>
    </xf>
    <xf numFmtId="0" fontId="22" fillId="0" borderId="0" xfId="4" applyFont="1" applyBorder="1" applyAlignment="1">
      <alignment horizontal="center"/>
    </xf>
    <xf numFmtId="0" fontId="19" fillId="0" borderId="0" xfId="8" applyFont="1" applyBorder="1" applyAlignment="1">
      <alignment horizontal="left"/>
    </xf>
    <xf numFmtId="0" fontId="19" fillId="0" borderId="0" xfId="4" applyFont="1" applyBorder="1" applyAlignment="1">
      <alignment horizontal="left"/>
    </xf>
    <xf numFmtId="0" fontId="19" fillId="0" borderId="0" xfId="8" applyFont="1" applyBorder="1" applyAlignment="1">
      <alignment horizontal="right"/>
    </xf>
    <xf numFmtId="191" fontId="28" fillId="0" borderId="0" xfId="0" applyNumberFormat="1" applyFont="1" applyBorder="1" applyAlignment="1">
      <alignment horizontal="right"/>
    </xf>
    <xf numFmtId="192" fontId="28" fillId="0" borderId="0" xfId="0" applyNumberFormat="1" applyFont="1" applyBorder="1" applyAlignment="1">
      <alignment horizontal="right"/>
    </xf>
    <xf numFmtId="0" fontId="18" fillId="0" borderId="0" xfId="4" applyFont="1" applyBorder="1" applyAlignment="1">
      <alignment horizontal="right"/>
    </xf>
    <xf numFmtId="0" fontId="24" fillId="0" borderId="0" xfId="4" applyFont="1" applyBorder="1" applyAlignment="1">
      <alignment horizontal="center" vertical="center"/>
    </xf>
    <xf numFmtId="0" fontId="18" fillId="0" borderId="0" xfId="4" applyFont="1" applyBorder="1" applyAlignment="1">
      <alignment horizontal="right" vertical="center"/>
    </xf>
    <xf numFmtId="0" fontId="22" fillId="0" borderId="0" xfId="4" applyFont="1" applyBorder="1"/>
    <xf numFmtId="37" fontId="21" fillId="0" borderId="0" xfId="4" applyNumberFormat="1" applyFont="1" applyBorder="1" applyAlignment="1">
      <alignment vertical="center"/>
    </xf>
    <xf numFmtId="37" fontId="63" fillId="0" borderId="0" xfId="4" applyNumberFormat="1" applyFont="1" applyBorder="1" applyAlignment="1">
      <alignment horizontal="center" vertical="center"/>
    </xf>
    <xf numFmtId="37" fontId="63" fillId="0" borderId="0" xfId="4" applyNumberFormat="1" applyFont="1" applyBorder="1" applyAlignment="1">
      <alignment vertical="center"/>
    </xf>
    <xf numFmtId="2" fontId="63" fillId="0" borderId="0" xfId="4" applyNumberFormat="1" applyFont="1" applyBorder="1"/>
    <xf numFmtId="168" fontId="63" fillId="0" borderId="0" xfId="4" applyNumberFormat="1" applyFont="1" applyBorder="1"/>
    <xf numFmtId="170" fontId="21" fillId="0" borderId="0" xfId="0" applyNumberFormat="1" applyFont="1" applyBorder="1" applyAlignment="1">
      <alignment horizontal="right"/>
    </xf>
    <xf numFmtId="170" fontId="63" fillId="0" borderId="0" xfId="4" applyNumberFormat="1" applyFont="1" applyBorder="1"/>
    <xf numFmtId="181" fontId="21" fillId="0" borderId="0" xfId="4" applyNumberFormat="1" applyFont="1" applyBorder="1" applyAlignment="1">
      <alignment horizontal="right" vertical="center"/>
    </xf>
    <xf numFmtId="181" fontId="22" fillId="0" borderId="0" xfId="4" applyNumberFormat="1" applyFont="1" applyBorder="1" applyAlignment="1">
      <alignment horizontal="right" vertical="center"/>
    </xf>
    <xf numFmtId="0" fontId="21" fillId="0" borderId="0" xfId="4" applyFont="1" applyBorder="1" applyAlignment="1">
      <alignment horizontal="left" vertical="center" indent="1"/>
    </xf>
    <xf numFmtId="0" fontId="63" fillId="0" borderId="0" xfId="4" applyFont="1" applyBorder="1" applyAlignment="1">
      <alignment horizontal="left" vertical="center" indent="1"/>
    </xf>
    <xf numFmtId="168" fontId="21" fillId="0" borderId="0" xfId="4" applyNumberFormat="1" applyFont="1" applyBorder="1" applyAlignment="1">
      <alignment horizontal="right" vertical="center"/>
    </xf>
    <xf numFmtId="181" fontId="21" fillId="0" borderId="0" xfId="0" applyNumberFormat="1" applyFont="1" applyBorder="1" applyAlignment="1">
      <alignment horizontal="right"/>
    </xf>
    <xf numFmtId="0" fontId="8" fillId="0" borderId="0" xfId="4" applyFont="1" applyBorder="1"/>
    <xf numFmtId="184" fontId="8" fillId="0" borderId="0" xfId="4" applyNumberFormat="1" applyFont="1" applyBorder="1" applyAlignment="1">
      <alignment vertical="center"/>
    </xf>
    <xf numFmtId="37" fontId="23" fillId="0" borderId="0" xfId="4" applyNumberFormat="1" applyFont="1" applyBorder="1" applyAlignment="1">
      <alignment horizontal="left" vertical="center"/>
    </xf>
    <xf numFmtId="37" fontId="21" fillId="0" borderId="0" xfId="4" applyNumberFormat="1" applyFont="1" applyBorder="1" applyAlignment="1">
      <alignment horizontal="left" vertical="center" indent="1"/>
    </xf>
    <xf numFmtId="190" fontId="21" fillId="0" borderId="0" xfId="0" applyNumberFormat="1" applyFont="1" applyBorder="1" applyAlignment="1">
      <alignment horizontal="right"/>
    </xf>
    <xf numFmtId="170" fontId="40" fillId="0" borderId="0" xfId="0" applyNumberFormat="1" applyFont="1" applyBorder="1" applyAlignment="1">
      <alignment horizontal="right"/>
    </xf>
    <xf numFmtId="168" fontId="40" fillId="0" borderId="0" xfId="4" applyNumberFormat="1" applyFont="1" applyBorder="1"/>
    <xf numFmtId="168" fontId="40" fillId="0" borderId="0" xfId="4" applyNumberFormat="1" applyFont="1" applyBorder="1" applyAlignment="1">
      <alignment horizontal="right" vertical="center"/>
    </xf>
    <xf numFmtId="170" fontId="8" fillId="0" borderId="0" xfId="4" applyNumberFormat="1" applyFont="1" applyBorder="1"/>
    <xf numFmtId="168" fontId="8" fillId="0" borderId="0" xfId="4" applyNumberFormat="1" applyFont="1" applyBorder="1"/>
    <xf numFmtId="181" fontId="8" fillId="0" borderId="0" xfId="4" applyNumberFormat="1" applyFont="1" applyBorder="1"/>
    <xf numFmtId="181" fontId="8" fillId="0" borderId="0" xfId="4" applyNumberFormat="1" applyFont="1" applyBorder="1" applyAlignment="1">
      <alignment horizontal="right" vertical="center"/>
    </xf>
    <xf numFmtId="185" fontId="8" fillId="0" borderId="0" xfId="4" applyNumberFormat="1" applyFont="1" applyBorder="1" applyAlignment="1">
      <alignment horizontal="right"/>
    </xf>
    <xf numFmtId="165" fontId="45" fillId="0" borderId="0" xfId="0" applyNumberFormat="1" applyFont="1" applyBorder="1" applyAlignment="1">
      <alignment vertical="center"/>
    </xf>
    <xf numFmtId="0" fontId="23" fillId="0" borderId="0" xfId="4" applyFont="1" applyBorder="1" applyAlignment="1">
      <alignment horizontal="center" vertical="center"/>
    </xf>
    <xf numFmtId="168" fontId="23" fillId="0" borderId="0" xfId="8" applyNumberFormat="1" applyFont="1" applyBorder="1" applyAlignment="1">
      <alignment horizontal="right"/>
    </xf>
    <xf numFmtId="168" fontId="28" fillId="0" borderId="0" xfId="0" applyNumberFormat="1" applyFont="1" applyBorder="1" applyAlignment="1">
      <alignment horizontal="centerContinuous"/>
    </xf>
    <xf numFmtId="168" fontId="35" fillId="0" borderId="0" xfId="4" applyNumberFormat="1" applyFont="1" applyBorder="1" applyAlignment="1">
      <alignment horizontal="centerContinuous"/>
    </xf>
    <xf numFmtId="0" fontId="23" fillId="0" borderId="0" xfId="8" applyFont="1" applyBorder="1" applyAlignment="1">
      <alignment horizontal="left"/>
    </xf>
    <xf numFmtId="0" fontId="23" fillId="0" borderId="0" xfId="8" applyFont="1" applyBorder="1" applyAlignment="1">
      <alignment horizontal="right"/>
    </xf>
    <xf numFmtId="0" fontId="55" fillId="0" borderId="0" xfId="0" applyFont="1" applyBorder="1" applyAlignment="1">
      <alignment horizontal="left"/>
    </xf>
    <xf numFmtId="0" fontId="27" fillId="0" borderId="0" xfId="4" applyFont="1" applyBorder="1" applyAlignment="1">
      <alignment horizontal="center" vertical="center"/>
    </xf>
    <xf numFmtId="186" fontId="63" fillId="0" borderId="0" xfId="4" applyNumberFormat="1" applyFont="1" applyBorder="1" applyAlignment="1">
      <alignment horizontal="left" vertical="center"/>
    </xf>
    <xf numFmtId="0" fontId="21" fillId="0" borderId="0" xfId="4" applyFont="1" applyBorder="1" applyAlignment="1">
      <alignment vertical="center"/>
    </xf>
    <xf numFmtId="174" fontId="63" fillId="0" borderId="0" xfId="4" applyNumberFormat="1" applyFont="1" applyBorder="1" applyAlignment="1">
      <alignment vertical="center"/>
    </xf>
    <xf numFmtId="175" fontId="21" fillId="0" borderId="0" xfId="4" applyNumberFormat="1" applyFont="1" applyBorder="1" applyAlignment="1">
      <alignment vertical="center"/>
    </xf>
    <xf numFmtId="168" fontId="63" fillId="0" borderId="0" xfId="4" applyNumberFormat="1" applyFont="1" applyBorder="1" applyAlignment="1">
      <alignment vertical="center"/>
    </xf>
    <xf numFmtId="168" fontId="21" fillId="0" borderId="0" xfId="4" applyNumberFormat="1" applyFont="1" applyBorder="1" applyAlignment="1">
      <alignment vertical="center"/>
    </xf>
    <xf numFmtId="170" fontId="21" fillId="0" borderId="0" xfId="4" applyNumberFormat="1" applyFont="1" applyBorder="1" applyAlignment="1">
      <alignment horizontal="right" vertical="center"/>
    </xf>
    <xf numFmtId="170" fontId="63" fillId="0" borderId="0" xfId="4" applyNumberFormat="1" applyFont="1" applyBorder="1" applyAlignment="1">
      <alignment vertical="center"/>
    </xf>
    <xf numFmtId="0" fontId="63" fillId="0" borderId="0" xfId="4" applyFont="1" applyBorder="1" applyAlignment="1">
      <alignment vertical="center"/>
    </xf>
    <xf numFmtId="170" fontId="63" fillId="0" borderId="0" xfId="4" applyNumberFormat="1" applyFont="1" applyBorder="1" applyAlignment="1">
      <alignment horizontal="right" vertical="center"/>
    </xf>
    <xf numFmtId="0" fontId="20" fillId="0" borderId="0" xfId="4" applyFont="1" applyBorder="1"/>
    <xf numFmtId="0" fontId="34" fillId="0" borderId="0" xfId="4" applyFont="1" applyBorder="1"/>
    <xf numFmtId="175" fontId="35" fillId="0" borderId="0" xfId="4" applyNumberFormat="1" applyFont="1" applyBorder="1"/>
    <xf numFmtId="170" fontId="33" fillId="0" borderId="0" xfId="4" applyNumberFormat="1" applyFont="1" applyBorder="1" applyAlignment="1">
      <alignment vertical="center"/>
    </xf>
    <xf numFmtId="0" fontId="16" fillId="0" borderId="0" xfId="4" applyFont="1" applyBorder="1"/>
    <xf numFmtId="0" fontId="37" fillId="0" borderId="0" xfId="4" applyFont="1" applyBorder="1" applyAlignment="1">
      <alignment vertical="center"/>
    </xf>
    <xf numFmtId="181" fontId="33" fillId="0" borderId="0" xfId="4" applyNumberFormat="1" applyFont="1" applyBorder="1" applyAlignment="1">
      <alignment horizontal="right" vertical="center"/>
    </xf>
    <xf numFmtId="174" fontId="40" fillId="0" borderId="0" xfId="4" applyNumberFormat="1" applyFont="1" applyBorder="1" applyAlignment="1">
      <alignment vertical="center"/>
    </xf>
    <xf numFmtId="174" fontId="21" fillId="0" borderId="0" xfId="4" applyNumberFormat="1" applyFont="1" applyBorder="1" applyAlignment="1">
      <alignment vertical="center"/>
    </xf>
    <xf numFmtId="175" fontId="21" fillId="0" borderId="0" xfId="4" applyNumberFormat="1" applyFont="1" applyBorder="1"/>
    <xf numFmtId="168" fontId="21" fillId="0" borderId="0" xfId="4" applyNumberFormat="1" applyFont="1" applyBorder="1"/>
    <xf numFmtId="0" fontId="21" fillId="0" borderId="37" xfId="4" applyFont="1" applyBorder="1" applyAlignment="1">
      <alignment horizontal="center"/>
    </xf>
    <xf numFmtId="0" fontId="22" fillId="0" borderId="37" xfId="4" applyFont="1" applyBorder="1" applyAlignment="1">
      <alignment horizontal="center"/>
    </xf>
    <xf numFmtId="0" fontId="22" fillId="0" borderId="37" xfId="4" applyFont="1" applyBorder="1"/>
    <xf numFmtId="0" fontId="8" fillId="0" borderId="37" xfId="4" applyFont="1" applyBorder="1"/>
    <xf numFmtId="0" fontId="23" fillId="0" borderId="40" xfId="8" applyFont="1" applyBorder="1" applyAlignment="1">
      <alignment horizontal="centerContinuous"/>
    </xf>
    <xf numFmtId="192" fontId="28" fillId="0" borderId="40" xfId="0" applyNumberFormat="1" applyFont="1" applyBorder="1" applyAlignment="1">
      <alignment horizontal="right"/>
    </xf>
    <xf numFmtId="0" fontId="18" fillId="0" borderId="40" xfId="4" applyFont="1" applyBorder="1" applyAlignment="1">
      <alignment horizontal="right" vertical="center"/>
    </xf>
    <xf numFmtId="181" fontId="21" fillId="0" borderId="40" xfId="4" applyNumberFormat="1" applyFont="1" applyBorder="1" applyAlignment="1">
      <alignment horizontal="right" vertical="center"/>
    </xf>
    <xf numFmtId="0" fontId="44" fillId="0" borderId="40" xfId="4" applyFont="1" applyBorder="1"/>
    <xf numFmtId="0" fontId="8" fillId="0" borderId="40" xfId="4" applyFont="1" applyBorder="1"/>
    <xf numFmtId="181" fontId="8" fillId="0" borderId="40" xfId="4" applyNumberFormat="1" applyFont="1" applyBorder="1"/>
    <xf numFmtId="176" fontId="8" fillId="0" borderId="40" xfId="4" applyNumberFormat="1" applyFont="1" applyBorder="1" applyAlignment="1">
      <alignment horizontal="right"/>
    </xf>
    <xf numFmtId="177" fontId="8" fillId="0" borderId="40" xfId="4" applyNumberFormat="1" applyFont="1" applyBorder="1" applyAlignment="1">
      <alignment horizontal="right"/>
    </xf>
    <xf numFmtId="183" fontId="8" fillId="0" borderId="40" xfId="4" applyNumberFormat="1" applyFont="1" applyBorder="1" applyAlignment="1">
      <alignment horizontal="right"/>
    </xf>
    <xf numFmtId="185" fontId="8" fillId="0" borderId="44" xfId="4" applyNumberFormat="1" applyFont="1" applyBorder="1" applyAlignment="1">
      <alignment horizontal="right"/>
    </xf>
    <xf numFmtId="168" fontId="35" fillId="0" borderId="40" xfId="4" applyNumberFormat="1" applyFont="1" applyBorder="1" applyAlignment="1">
      <alignment horizontal="centerContinuous"/>
    </xf>
    <xf numFmtId="181" fontId="22" fillId="0" borderId="40" xfId="4" applyNumberFormat="1" applyFont="1" applyBorder="1" applyAlignment="1">
      <alignment horizontal="right" vertical="center"/>
    </xf>
    <xf numFmtId="0" fontId="16" fillId="0" borderId="0" xfId="4" applyFont="1" applyBorder="1" applyProtection="1">
      <protection locked="0"/>
    </xf>
    <xf numFmtId="0" fontId="13" fillId="0" borderId="0" xfId="4" applyFont="1" applyBorder="1"/>
    <xf numFmtId="0" fontId="9" fillId="0" borderId="0" xfId="4" applyFont="1" applyBorder="1"/>
    <xf numFmtId="0" fontId="9" fillId="0" borderId="0" xfId="4" applyFont="1" applyBorder="1" applyAlignment="1">
      <alignment horizontal="centerContinuous"/>
    </xf>
    <xf numFmtId="0" fontId="64" fillId="0" borderId="0" xfId="4" applyFont="1" applyBorder="1" applyProtection="1">
      <protection locked="0"/>
    </xf>
    <xf numFmtId="0" fontId="20" fillId="0" borderId="0" xfId="4" applyFont="1" applyBorder="1" applyAlignment="1">
      <alignment horizontal="left" vertical="center"/>
    </xf>
    <xf numFmtId="0" fontId="66" fillId="0" borderId="0" xfId="4" applyFont="1" applyBorder="1" applyAlignment="1">
      <alignment horizontal="center" vertical="center"/>
    </xf>
    <xf numFmtId="0" fontId="22" fillId="0" borderId="0" xfId="4" applyFont="1" applyBorder="1" applyAlignment="1">
      <alignment horizontal="left"/>
    </xf>
    <xf numFmtId="0" fontId="51" fillId="2" borderId="0" xfId="4" applyFont="1" applyFill="1" applyBorder="1"/>
    <xf numFmtId="165" fontId="68" fillId="2" borderId="0" xfId="4" applyNumberFormat="1" applyFont="1" applyFill="1" applyBorder="1"/>
    <xf numFmtId="0" fontId="16" fillId="0" borderId="34" xfId="4" applyFont="1" applyBorder="1"/>
    <xf numFmtId="0" fontId="16" fillId="0" borderId="37" xfId="4" applyFont="1" applyBorder="1"/>
    <xf numFmtId="0" fontId="16" fillId="0" borderId="38" xfId="4" applyFont="1" applyBorder="1"/>
    <xf numFmtId="0" fontId="16" fillId="0" borderId="40" xfId="4" applyFont="1" applyBorder="1"/>
    <xf numFmtId="0" fontId="16" fillId="0" borderId="45" xfId="4" applyFont="1" applyBorder="1"/>
    <xf numFmtId="0" fontId="5" fillId="2" borderId="36" xfId="0" applyFont="1" applyFill="1" applyBorder="1"/>
    <xf numFmtId="0" fontId="69" fillId="0" borderId="0" xfId="4" applyFont="1" applyBorder="1" applyProtection="1">
      <protection locked="0"/>
    </xf>
    <xf numFmtId="0" fontId="70" fillId="0" borderId="0" xfId="4" applyFont="1" applyBorder="1" applyAlignment="1">
      <alignment horizontal="right"/>
    </xf>
    <xf numFmtId="0" fontId="70" fillId="0" borderId="1" xfId="4" applyFont="1" applyBorder="1" applyProtection="1">
      <protection locked="0"/>
    </xf>
    <xf numFmtId="0" fontId="70" fillId="0" borderId="15" xfId="4" applyFont="1" applyBorder="1" applyAlignment="1" applyProtection="1">
      <alignment horizontal="left"/>
      <protection locked="0"/>
    </xf>
    <xf numFmtId="165" fontId="72" fillId="2" borderId="0" xfId="7" applyNumberFormat="1" applyFont="1" applyFill="1" applyBorder="1"/>
    <xf numFmtId="0" fontId="5" fillId="2" borderId="38" xfId="0" applyFont="1" applyFill="1" applyBorder="1"/>
    <xf numFmtId="171" fontId="5" fillId="2" borderId="35" xfId="0" applyNumberFormat="1" applyFont="1" applyFill="1" applyBorder="1"/>
    <xf numFmtId="174" fontId="5" fillId="2" borderId="34" xfId="0" applyNumberFormat="1" applyFont="1" applyFill="1" applyBorder="1"/>
    <xf numFmtId="0" fontId="5" fillId="2" borderId="34" xfId="0" applyFont="1" applyFill="1" applyBorder="1"/>
    <xf numFmtId="0" fontId="5" fillId="2" borderId="45" xfId="0" applyFont="1" applyFill="1" applyBorder="1"/>
    <xf numFmtId="0" fontId="16" fillId="2" borderId="38" xfId="0" applyFont="1" applyFill="1" applyBorder="1"/>
    <xf numFmtId="0" fontId="20" fillId="2" borderId="34" xfId="4" applyFont="1" applyFill="1" applyBorder="1"/>
    <xf numFmtId="0" fontId="34" fillId="2" borderId="34" xfId="4" applyFont="1" applyFill="1" applyBorder="1"/>
    <xf numFmtId="174" fontId="21" fillId="2" borderId="34" xfId="4" applyNumberFormat="1" applyFont="1" applyFill="1" applyBorder="1" applyAlignment="1">
      <alignment vertical="center"/>
    </xf>
    <xf numFmtId="175" fontId="21" fillId="2" borderId="34" xfId="4" applyNumberFormat="1" applyFont="1" applyFill="1" applyBorder="1"/>
    <xf numFmtId="168" fontId="21" fillId="2" borderId="34" xfId="4" applyNumberFormat="1" applyFont="1" applyFill="1" applyBorder="1"/>
    <xf numFmtId="170" fontId="33" fillId="2" borderId="34" xfId="4" applyNumberFormat="1" applyFont="1" applyFill="1" applyBorder="1" applyAlignment="1">
      <alignment vertical="center"/>
    </xf>
    <xf numFmtId="168" fontId="40" fillId="2" borderId="34" xfId="4" applyNumberFormat="1" applyFont="1" applyFill="1" applyBorder="1" applyAlignment="1">
      <alignment horizontal="right" vertical="center"/>
    </xf>
    <xf numFmtId="181" fontId="33" fillId="2" borderId="34" xfId="4" applyNumberFormat="1" applyFont="1" applyFill="1" applyBorder="1" applyAlignment="1">
      <alignment horizontal="right" vertical="center"/>
    </xf>
    <xf numFmtId="181" fontId="21" fillId="2" borderId="34" xfId="4" applyNumberFormat="1" applyFont="1" applyFill="1" applyBorder="1" applyAlignment="1">
      <alignment horizontal="right" vertical="center"/>
    </xf>
    <xf numFmtId="181" fontId="21" fillId="2" borderId="45" xfId="4" applyNumberFormat="1" applyFont="1" applyFill="1" applyBorder="1" applyAlignment="1">
      <alignment horizontal="right" vertical="center"/>
    </xf>
    <xf numFmtId="0" fontId="16" fillId="2" borderId="0" xfId="4" applyFont="1" applyFill="1" applyBorder="1"/>
    <xf numFmtId="0" fontId="39" fillId="2" borderId="36" xfId="4" applyFont="1" applyFill="1" applyBorder="1"/>
    <xf numFmtId="0" fontId="16" fillId="2" borderId="33" xfId="4" applyFont="1" applyFill="1" applyBorder="1"/>
    <xf numFmtId="0" fontId="16" fillId="2" borderId="39" xfId="4" applyFont="1" applyFill="1" applyBorder="1"/>
    <xf numFmtId="0" fontId="16" fillId="2" borderId="36" xfId="4" applyFont="1" applyFill="1" applyBorder="1"/>
    <xf numFmtId="0" fontId="16" fillId="2" borderId="37" xfId="4" applyFont="1" applyFill="1" applyBorder="1"/>
    <xf numFmtId="0" fontId="16" fillId="2" borderId="40" xfId="4" applyFont="1" applyFill="1" applyBorder="1"/>
    <xf numFmtId="170" fontId="66" fillId="0" borderId="0" xfId="0" applyNumberFormat="1" applyFont="1" applyBorder="1"/>
    <xf numFmtId="170" fontId="20" fillId="0" borderId="0" xfId="0" applyNumberFormat="1" applyFont="1" applyBorder="1"/>
    <xf numFmtId="37" fontId="61" fillId="2" borderId="0" xfId="0" applyNumberFormat="1" applyFont="1" applyFill="1" applyBorder="1" applyAlignment="1">
      <alignment horizontal="left" vertical="center"/>
    </xf>
    <xf numFmtId="37" fontId="61" fillId="2" borderId="40" xfId="0" applyNumberFormat="1" applyFont="1" applyFill="1" applyBorder="1" applyAlignment="1">
      <alignment horizontal="left" vertical="center"/>
    </xf>
    <xf numFmtId="166" fontId="61" fillId="2" borderId="0" xfId="0" applyNumberFormat="1" applyFont="1" applyFill="1" applyBorder="1" applyAlignment="1">
      <alignment horizontal="left" vertical="center"/>
    </xf>
    <xf numFmtId="172" fontId="62" fillId="2" borderId="0" xfId="0" applyNumberFormat="1" applyFont="1" applyFill="1" applyBorder="1" applyAlignment="1">
      <alignment horizontal="left" vertical="center"/>
    </xf>
    <xf numFmtId="172" fontId="61" fillId="2" borderId="0" xfId="0" applyNumberFormat="1" applyFont="1" applyFill="1" applyBorder="1" applyAlignment="1">
      <alignment horizontal="left" vertical="center"/>
    </xf>
    <xf numFmtId="0" fontId="61" fillId="2" borderId="40" xfId="0" applyFont="1" applyFill="1" applyBorder="1" applyAlignment="1">
      <alignment horizontal="left" vertical="center"/>
    </xf>
    <xf numFmtId="172" fontId="61" fillId="2" borderId="40" xfId="0" applyNumberFormat="1" applyFont="1" applyFill="1" applyBorder="1" applyAlignment="1">
      <alignment horizontal="left" vertical="center"/>
    </xf>
    <xf numFmtId="166" fontId="19" fillId="0" borderId="46" xfId="0" applyNumberFormat="1" applyFont="1" applyBorder="1" applyAlignment="1">
      <alignment horizontal="right"/>
    </xf>
    <xf numFmtId="167" fontId="65" fillId="0" borderId="48" xfId="0" applyNumberFormat="1" applyFont="1" applyBorder="1" applyAlignment="1">
      <alignment horizontal="right" vertical="center"/>
    </xf>
    <xf numFmtId="167" fontId="23" fillId="0" borderId="48" xfId="0" applyNumberFormat="1" applyFont="1" applyBorder="1" applyAlignment="1">
      <alignment horizontal="right" vertical="center"/>
    </xf>
    <xf numFmtId="168" fontId="7" fillId="0" borderId="46" xfId="0" applyNumberFormat="1" applyFont="1" applyBorder="1"/>
    <xf numFmtId="166" fontId="61" fillId="2" borderId="40" xfId="0" applyNumberFormat="1" applyFont="1" applyFill="1" applyBorder="1" applyAlignment="1">
      <alignment horizontal="left" vertical="center"/>
    </xf>
    <xf numFmtId="174" fontId="21" fillId="0" borderId="0" xfId="0" applyNumberFormat="1" applyFont="1" applyBorder="1"/>
    <xf numFmtId="174" fontId="21" fillId="0" borderId="40" xfId="0" applyNumberFormat="1" applyFont="1" applyBorder="1"/>
    <xf numFmtId="0" fontId="77" fillId="0" borderId="0" xfId="4" applyFont="1" applyBorder="1"/>
    <xf numFmtId="0" fontId="78" fillId="0" borderId="0" xfId="4" applyFont="1" applyBorder="1"/>
    <xf numFmtId="0" fontId="78" fillId="0" borderId="0" xfId="3" applyFont="1" applyFill="1" applyBorder="1"/>
    <xf numFmtId="165" fontId="72" fillId="0" borderId="0" xfId="3" applyNumberFormat="1" applyFont="1" applyFill="1" applyBorder="1"/>
    <xf numFmtId="165" fontId="71" fillId="0" borderId="0" xfId="7" applyNumberFormat="1" applyFont="1" applyFill="1" applyBorder="1" applyAlignment="1" applyProtection="1">
      <alignment horizontal="left" vertical="center"/>
      <protection locked="0"/>
    </xf>
    <xf numFmtId="0" fontId="74" fillId="2" borderId="0" xfId="4" applyNumberFormat="1" applyFont="1" applyFill="1" applyBorder="1" applyAlignment="1">
      <alignment horizontal="center" vertical="center"/>
    </xf>
    <xf numFmtId="0" fontId="75" fillId="2" borderId="0" xfId="4" applyNumberFormat="1" applyFont="1" applyFill="1" applyBorder="1" applyAlignment="1">
      <alignment horizontal="center" vertical="center"/>
    </xf>
    <xf numFmtId="0" fontId="68" fillId="2" borderId="0" xfId="0" applyNumberFormat="1" applyFont="1" applyFill="1" applyAlignment="1">
      <alignment horizontal="left" vertical="center" wrapText="1"/>
    </xf>
    <xf numFmtId="0" fontId="0" fillId="2" borderId="0" xfId="0" applyNumberFormat="1" applyFill="1"/>
    <xf numFmtId="0" fontId="61" fillId="2" borderId="0" xfId="4" applyNumberFormat="1" applyFont="1" applyFill="1" applyBorder="1"/>
    <xf numFmtId="0" fontId="0" fillId="2" borderId="0" xfId="0" applyNumberFormat="1" applyFill="1"/>
    <xf numFmtId="0" fontId="72" fillId="2" borderId="0" xfId="7" applyNumberFormat="1" applyFont="1" applyFill="1" applyAlignment="1">
      <alignment horizontal="left"/>
    </xf>
    <xf numFmtId="0" fontId="73" fillId="2" borderId="34" xfId="7" applyNumberFormat="1" applyFont="1" applyFill="1" applyBorder="1" applyAlignment="1">
      <alignment horizontal="left" vertical="center" textRotation="90"/>
    </xf>
    <xf numFmtId="0" fontId="73" fillId="2" borderId="34" xfId="7" applyNumberFormat="1" applyFont="1" applyFill="1" applyBorder="1" applyAlignment="1">
      <alignment horizontal="left" vertical="center" indent="1"/>
    </xf>
    <xf numFmtId="0" fontId="21" fillId="0" borderId="47" xfId="0" applyFont="1" applyBorder="1" applyAlignment="1">
      <alignment horizontal="left"/>
    </xf>
    <xf numFmtId="174" fontId="76" fillId="0" borderId="47" xfId="0" applyNumberFormat="1" applyFont="1" applyBorder="1"/>
    <xf numFmtId="174" fontId="76" fillId="0" borderId="50" xfId="0" applyNumberFormat="1" applyFont="1" applyBorder="1"/>
    <xf numFmtId="0" fontId="76" fillId="3" borderId="51" xfId="0" applyFont="1" applyFill="1" applyBorder="1" applyAlignment="1">
      <alignment horizontal="left"/>
    </xf>
    <xf numFmtId="0" fontId="76" fillId="3" borderId="51" xfId="0" applyFont="1" applyFill="1" applyBorder="1" applyAlignment="1">
      <alignment horizontal="right"/>
    </xf>
    <xf numFmtId="0" fontId="76" fillId="3" borderId="49" xfId="0" applyFont="1" applyFill="1" applyBorder="1" applyAlignment="1">
      <alignment horizontal="right"/>
    </xf>
    <xf numFmtId="0" fontId="0" fillId="0" borderId="34" xfId="0" applyBorder="1"/>
    <xf numFmtId="0" fontId="79" fillId="2" borderId="34" xfId="7" applyNumberFormat="1" applyFont="1" applyFill="1" applyBorder="1" applyAlignment="1">
      <alignment horizontal="left" vertical="center"/>
    </xf>
    <xf numFmtId="0" fontId="0" fillId="0" borderId="52" xfId="0" applyBorder="1"/>
    <xf numFmtId="0" fontId="60" fillId="2" borderId="52" xfId="0" applyNumberFormat="1" applyFont="1" applyFill="1" applyBorder="1" applyAlignment="1">
      <alignment horizontal="right" vertical="center"/>
    </xf>
    <xf numFmtId="193" fontId="58" fillId="2" borderId="45" xfId="0" applyNumberFormat="1" applyFont="1" applyFill="1" applyBorder="1" applyAlignment="1">
      <alignment horizontal="left" vertical="center"/>
    </xf>
    <xf numFmtId="4" fontId="5" fillId="0" borderId="0" xfId="0" applyNumberFormat="1" applyFont="1"/>
  </cellXfs>
  <cellStyles count="12">
    <cellStyle name="Comma" xfId="6" builtinId="3"/>
    <cellStyle name="Comma 2" xfId="5" xr:uid="{E4921B80-8D66-4D3A-80A8-30D7AC6654E4}"/>
    <cellStyle name="Comma 3" xfId="11" xr:uid="{AE9FBB45-3812-44EB-9985-E8711B5130A5}"/>
    <cellStyle name="Currency 2" xfId="9" xr:uid="{94E4DDE7-38BB-42BE-8AD8-F2255D91939B}"/>
    <cellStyle name="Hyperlink" xfId="7" builtinId="8"/>
    <cellStyle name="Hyperlink 2" xfId="2" xr:uid="{AB6B3A7D-3778-4F12-89C6-854994145915}"/>
    <cellStyle name="Hyperlink 2 2" xfId="3" xr:uid="{68C7A1A0-E6BF-4680-81F4-BC0E6FC46C33}"/>
    <cellStyle name="Normal" xfId="0" builtinId="0"/>
    <cellStyle name="Normal 2" xfId="10" xr:uid="{E467A6E4-457C-43D8-ABFB-99013C922CB0}"/>
    <cellStyle name="Normal 2 2 2" xfId="4" xr:uid="{78B9DE1D-532C-4950-9B15-A4A33EAE21E4}"/>
    <cellStyle name="Normal_Master Junior Database v2" xfId="8" xr:uid="{50343CF3-6739-4018-BFFB-67ED8A06E4D7}"/>
    <cellStyle name="Percent" xfId="1" builtinId="5"/>
  </cellStyles>
  <dxfs count="3">
    <dxf>
      <font>
        <b/>
        <i val="0"/>
        <color theme="0"/>
      </font>
      <fill>
        <patternFill>
          <bgColor rgb="FFFA621C"/>
        </patternFill>
      </fill>
    </dxf>
    <dxf>
      <font>
        <b/>
        <i val="0"/>
        <color theme="0"/>
      </font>
      <fill>
        <patternFill>
          <fgColor auto="1"/>
          <bgColor rgb="FFFA621C"/>
        </patternFill>
      </fill>
    </dxf>
    <dxf>
      <font>
        <b/>
        <i val="0"/>
        <color theme="0"/>
      </font>
      <fill>
        <patternFill>
          <bgColor rgb="FFFA621C"/>
        </patternFill>
      </fill>
    </dxf>
  </dxfs>
  <tableStyles count="0" defaultTableStyle="TableStyleMedium2" defaultPivotStyle="PivotStyleLight16"/>
  <colors>
    <mruColors>
      <color rgb="FF132E57"/>
      <color rgb="FFC32837"/>
      <color rgb="FFFA62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spc="0" baseline="0">
                <a:solidFill>
                  <a:srgbClr val="0B2545"/>
                </a:solidFill>
                <a:latin typeface="Open Sans"/>
                <a:ea typeface="Open Sans"/>
                <a:cs typeface="Open Sans"/>
              </a:defRPr>
            </a:pPr>
            <a:r>
              <a:rPr lang="en-US"/>
              <a:t>Football Field Valuation Summary ($/share)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spc="0" baseline="0">
              <a:solidFill>
                <a:srgbClr val="0B2545"/>
              </a:solidFill>
              <a:latin typeface="Open Sans"/>
              <a:ea typeface="Open Sans"/>
              <a:cs typeface="Open San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'Football Field Chart'!$K$36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rgbClr val="0B2545"/>
            </a:solidFill>
            <a:ln>
              <a:solidFill>
                <a:srgbClr val="0B2545"/>
              </a:solidFill>
              <a:prstDash val="solid"/>
            </a:ln>
            <a:effectLst/>
          </c:spPr>
          <c:invertIfNegative val="0"/>
          <c:dLbls>
            <c:numFmt formatCode="&quot;$&quot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FFFFFF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'Football Field Chart'!$J$37:$J$41</c:f>
              <c:strCache>
                <c:ptCount val="5"/>
                <c:pt idx="0">
                  <c:v>Comparable Companies</c:v>
                </c:pt>
                <c:pt idx="1">
                  <c:v>Precedent Transactions</c:v>
                </c:pt>
                <c:pt idx="2">
                  <c:v>DCF - Perpetuity Growth</c:v>
                </c:pt>
                <c:pt idx="3">
                  <c:v>DCF - Terminal Multiple</c:v>
                </c:pt>
                <c:pt idx="4">
                  <c:v>52 Week High/Low</c:v>
                </c:pt>
              </c:strCache>
            </c:strRef>
          </c:cat>
          <c:val>
            <c:numRef>
              <c:f>'Football Field Chart'!$K$37:$K$41</c:f>
              <c:numCache>
                <c:formatCode>_(#,##0.00_);\(#,##0.00\);_("–"_);_(@_)</c:formatCode>
                <c:ptCount val="5"/>
                <c:pt idx="0">
                  <c:v>7.0339378825234045</c:v>
                </c:pt>
                <c:pt idx="1">
                  <c:v>12.633521477339277</c:v>
                </c:pt>
                <c:pt idx="2">
                  <c:v>5.0904490071280213</c:v>
                </c:pt>
                <c:pt idx="3">
                  <c:v>4.6588611592877118</c:v>
                </c:pt>
                <c:pt idx="4">
                  <c:v>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B-4894-9AE7-86ACC5D775DF}"/>
            </c:ext>
          </c:extLst>
        </c:ser>
        <c:ser>
          <c:idx val="1"/>
          <c:order val="1"/>
          <c:tx>
            <c:strRef>
              <c:f>'Football Field Chart'!$L$36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rgbClr val="B8860B"/>
            </a:solidFill>
            <a:ln>
              <a:solidFill>
                <a:srgbClr val="B8860B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FFFF"/>
                        </a:solidFill>
                        <a:latin typeface="Open Sans"/>
                        <a:ea typeface="Open Sans"/>
                        <a:cs typeface="Open Sans"/>
                      </a:defRPr>
                    </a:pPr>
                    <a:r>
                      <a:rPr lang="en-US"/>
                      <a:t>$10.54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FFFF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B9B-4894-9AE7-86ACC5D775DF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FFFF"/>
                        </a:solidFill>
                        <a:latin typeface="Open Sans"/>
                        <a:ea typeface="Open Sans"/>
                        <a:cs typeface="Open Sans"/>
                      </a:defRPr>
                    </a:pPr>
                    <a:r>
                      <a:rPr lang="en-US"/>
                      <a:t>$13.48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FFFF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B9B-4894-9AE7-86ACC5D775DF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FFFF"/>
                        </a:solidFill>
                        <a:latin typeface="Open Sans"/>
                        <a:ea typeface="Open Sans"/>
                        <a:cs typeface="Open Sans"/>
                      </a:defRPr>
                    </a:pPr>
                    <a:r>
                      <a:rPr lang="en-US"/>
                      <a:t>$8.52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FFFF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B9B-4894-9AE7-86ACC5D775DF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FFFF"/>
                        </a:solidFill>
                        <a:latin typeface="Open Sans"/>
                        <a:ea typeface="Open Sans"/>
                        <a:cs typeface="Open Sans"/>
                      </a:defRPr>
                    </a:pPr>
                    <a:r>
                      <a:rPr lang="en-US"/>
                      <a:t>$8.19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FFFF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B9B-4894-9AE7-86ACC5D775DF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FFFFFF"/>
                        </a:solidFill>
                        <a:latin typeface="Open Sans"/>
                        <a:ea typeface="Open Sans"/>
                        <a:cs typeface="Open Sans"/>
                      </a:defRPr>
                    </a:pPr>
                    <a:r>
                      <a:rPr lang="en-US"/>
                      <a:t>$10.11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FFFF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B9B-4894-9AE7-86ACC5D775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'Football Field Chart'!$J$37:$J$41</c:f>
              <c:strCache>
                <c:ptCount val="5"/>
                <c:pt idx="0">
                  <c:v>Comparable Companies</c:v>
                </c:pt>
                <c:pt idx="1">
                  <c:v>Precedent Transactions</c:v>
                </c:pt>
                <c:pt idx="2">
                  <c:v>DCF - Perpetuity Growth</c:v>
                </c:pt>
                <c:pt idx="3">
                  <c:v>DCF - Terminal Multiple</c:v>
                </c:pt>
                <c:pt idx="4">
                  <c:v>52 Week High/Low</c:v>
                </c:pt>
              </c:strCache>
            </c:strRef>
          </c:cat>
          <c:val>
            <c:numRef>
              <c:f>'Football Field Chart'!$L$37:$L$41</c:f>
              <c:numCache>
                <c:formatCode>_(#,##0.00_);\(#,##0.00\);_("–"_);_(@_)</c:formatCode>
                <c:ptCount val="5"/>
                <c:pt idx="0">
                  <c:v>3.5031991498884869</c:v>
                </c:pt>
                <c:pt idx="1">
                  <c:v>0.84203479523118752</c:v>
                </c:pt>
                <c:pt idx="2">
                  <c:v>3.4321569607814224</c:v>
                </c:pt>
                <c:pt idx="3">
                  <c:v>3.5355384202228173</c:v>
                </c:pt>
                <c:pt idx="4">
                  <c:v>5.8599999999999994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9B-4894-9AE7-86ACC5D77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5745775"/>
        <c:axId val="1665748655"/>
      </c:barChart>
      <c:catAx>
        <c:axId val="16657457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en-US"/>
          </a:p>
        </c:txPr>
        <c:crossAx val="1665748655"/>
        <c:crosses val="autoZero"/>
        <c:auto val="1"/>
        <c:lblAlgn val="ctr"/>
        <c:lblOffset val="100"/>
        <c:noMultiLvlLbl val="0"/>
      </c:catAx>
      <c:valAx>
        <c:axId val="1665748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en-US"/>
          </a:p>
        </c:txPr>
        <c:crossAx val="1665745775"/>
        <c:crosses val="autoZero"/>
        <c:crossBetween val="between"/>
      </c:valAx>
      <c:spPr>
        <a:solidFill>
          <a:srgbClr val="FFFFFF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rgbClr val="0B2545"/>
              </a:solidFill>
              <a:latin typeface="Open Sans"/>
              <a:ea typeface="Open Sans"/>
              <a:cs typeface="Open Sans"/>
            </a:defRPr>
          </a:pPr>
          <a:endParaRPr lang="en-US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rgbClr val="0B2545"/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7</xdr:col>
      <xdr:colOff>11430</xdr:colOff>
      <xdr:row>34</xdr:row>
      <xdr:rowOff>0</xdr:rowOff>
    </xdr:to>
    <xdr:graphicFrame macro="">
      <xdr:nvGraphicFramePr>
        <xdr:cNvPr id="11" name="Football Field">
          <a:extLst>
            <a:ext uri="{FF2B5EF4-FFF2-40B4-BE49-F238E27FC236}">
              <a16:creationId xmlns:a16="http://schemas.microsoft.com/office/drawing/2014/main" id="{8A0A46DD-414F-5154-7585-CBF138E20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Shared%20drives/Courses%20&amp;%20Programs/1%20Financial%20Modeling%20and%20Valuation%20Analyst%20(FMVA)/02.%20Excel%20Modeling%20Fundamentals/(Updated)%20Excel%20Fundamentals%20-%20Formulas%20for%20Finance%20-%20SCHMIDT.xlsx" TargetMode="External"/><Relationship Id="rId2" Type="http://schemas.openxmlformats.org/officeDocument/2006/relationships/externalLinkPath" Target="file:///G:\Shared%20drives\Courses%20&amp;%20Programs\1%20Financial%20Modeling%20and%20Valuation%20Analyst%20(FMVA)\02.%20Excel%20Modeling%20Fundamentals\(Updated)%20Excel%20Fundamentals%20-%20Formulas%20for%20Finance%20-%20SCHMIDT.xlsx" TargetMode="External"/><Relationship Id="rId1" Type="http://schemas.openxmlformats.org/officeDocument/2006/relationships/externalLinkPath" Target="/Shared%20drives/Courses%20&amp;%20Programs/1%20Financial%20Modeling%20and%20Valuation%20Analyst%20(FMVA)/02.%20Excel%20Modeling%20Fundamentals/(Updated)%20Excel%20Fundamentals%20-%20Formulas%20for%20Finance%20-%20SCHMID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ver"/>
      <sheetName val="Raw Data"/>
      <sheetName val="Basic Financial Analysis"/>
      <sheetName val="Advanced Financial Analysis"/>
      <sheetName val="Lookup Functions"/>
      <sheetName val="NPV Vs XNPV"/>
      <sheetName val="Simple Amortization"/>
      <sheetName val="Advanced Amortization"/>
    </sheetNames>
    <sheetDataSet>
      <sheetData sheetId="0" refreshError="1"/>
      <sheetData sheetId="1" refreshError="1"/>
      <sheetData sheetId="2" refreshError="1"/>
      <sheetData sheetId="3">
        <row r="9">
          <cell r="B9" t="str">
            <v>Gross Profit</v>
          </cell>
          <cell r="F9">
            <v>82500</v>
          </cell>
          <cell r="G9">
            <v>90750</v>
          </cell>
          <cell r="H9">
            <v>99825.000000000015</v>
          </cell>
          <cell r="I9">
            <v>109807.50000000003</v>
          </cell>
          <cell r="J9">
            <v>120788.25000000004</v>
          </cell>
          <cell r="K9">
            <v>132867.07500000007</v>
          </cell>
          <cell r="L9">
            <v>146153.78250000009</v>
          </cell>
        </row>
        <row r="11">
          <cell r="B11" t="str">
            <v>SG&amp;A</v>
          </cell>
          <cell r="F11">
            <v>16500</v>
          </cell>
          <cell r="G11">
            <v>18150</v>
          </cell>
          <cell r="H11">
            <v>20000</v>
          </cell>
          <cell r="I11">
            <v>20000</v>
          </cell>
          <cell r="J11">
            <v>20000</v>
          </cell>
          <cell r="K11">
            <v>20000</v>
          </cell>
          <cell r="L11">
            <v>20000</v>
          </cell>
        </row>
        <row r="49">
          <cell r="D49">
            <v>0.1</v>
          </cell>
        </row>
      </sheetData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BCFD200-08BC-411A-ACBE-0A140D2D5BA3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466e8a42-66ed-4070-934b-d1cf552a467a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zaighamali.github.io/zaighamali.github.i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zaighamali.github.io/zaighamali.github.io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zaighamali.github.io/zaighamali.github.io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szaighamali.github.io/zaighamali.github.io" TargetMode="Externa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67E82-6292-412E-AEF3-F15FD7891CF9}">
  <sheetPr codeName="Sheet1">
    <pageSetUpPr fitToPage="1"/>
  </sheetPr>
  <dimension ref="A1:W41"/>
  <sheetViews>
    <sheetView showGridLines="0" tabSelected="1" zoomScale="70" zoomScaleNormal="70" zoomScaleSheetLayoutView="85" workbookViewId="0">
      <selection activeCell="C4" sqref="C4:M4"/>
    </sheetView>
  </sheetViews>
  <sheetFormatPr defaultColWidth="9.109375" defaultRowHeight="19.5" customHeight="1"/>
  <cols>
    <col min="1" max="1" width="4.6640625" style="11" customWidth="1"/>
    <col min="2" max="2" width="4.77734375" style="11" customWidth="1"/>
    <col min="3" max="3" width="18.6640625" style="11" customWidth="1"/>
    <col min="4" max="7" width="10.6640625" style="11" customWidth="1"/>
    <col min="8" max="8" width="18.6640625" style="11" customWidth="1"/>
    <col min="9" max="12" width="10.6640625" style="11" customWidth="1"/>
    <col min="13" max="13" width="26.6640625" style="11" customWidth="1"/>
    <col min="14" max="14" width="10.6640625" style="11" customWidth="1"/>
    <col min="15" max="15" width="4.77734375" style="11" customWidth="1"/>
    <col min="16" max="16" width="11" style="11" customWidth="1"/>
    <col min="17" max="16384" width="9.109375" style="11"/>
  </cols>
  <sheetData>
    <row r="1" spans="1:16" ht="19.5" customHeight="1" thickTop="1" thickBot="1">
      <c r="A1" s="399"/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1"/>
    </row>
    <row r="2" spans="1:16" ht="19.5" customHeight="1" thickTop="1">
      <c r="A2" s="372"/>
      <c r="B2" s="402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1"/>
      <c r="P2" s="374"/>
    </row>
    <row r="3" spans="1:16" ht="19.5" customHeight="1">
      <c r="A3" s="372"/>
      <c r="B3" s="403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404"/>
      <c r="P3" s="374"/>
    </row>
    <row r="4" spans="1:16" ht="40.799999999999997">
      <c r="A4" s="372"/>
      <c r="B4" s="403"/>
      <c r="C4" s="426" t="s">
        <v>233</v>
      </c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398"/>
      <c r="O4" s="404"/>
      <c r="P4" s="374"/>
    </row>
    <row r="5" spans="1:16" ht="19.5" customHeight="1">
      <c r="A5" s="372"/>
      <c r="B5" s="403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404"/>
      <c r="P5" s="374"/>
    </row>
    <row r="6" spans="1:16" ht="19.5" customHeight="1">
      <c r="A6" s="372"/>
      <c r="B6" s="403"/>
      <c r="C6" s="427" t="s">
        <v>234</v>
      </c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398"/>
      <c r="O6" s="404"/>
      <c r="P6" s="374"/>
    </row>
    <row r="7" spans="1:16" ht="19.5" customHeight="1">
      <c r="A7" s="372"/>
      <c r="B7" s="403"/>
      <c r="C7" s="398"/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404"/>
      <c r="P7" s="374"/>
    </row>
    <row r="8" spans="1:16" ht="19.5" customHeight="1">
      <c r="A8" s="372"/>
      <c r="B8" s="403"/>
      <c r="C8" s="398"/>
      <c r="D8" s="398"/>
      <c r="E8" s="398"/>
      <c r="F8" s="398"/>
      <c r="G8" s="398"/>
      <c r="H8" s="398"/>
      <c r="I8" s="398"/>
      <c r="J8" s="398"/>
      <c r="K8" s="398"/>
      <c r="L8" s="398"/>
      <c r="M8" s="398"/>
      <c r="N8" s="398"/>
      <c r="O8" s="404"/>
      <c r="P8" s="374"/>
    </row>
    <row r="9" spans="1:16" ht="19.5" customHeight="1">
      <c r="A9" s="372"/>
      <c r="B9" s="403"/>
      <c r="C9" s="398"/>
      <c r="D9" s="398"/>
      <c r="E9" s="398"/>
      <c r="F9" s="398"/>
      <c r="G9" s="398"/>
      <c r="H9" s="398"/>
      <c r="I9" s="398"/>
      <c r="J9" s="398"/>
      <c r="K9" s="398"/>
      <c r="L9" s="398"/>
      <c r="M9" s="398"/>
      <c r="N9" s="398"/>
      <c r="O9" s="404"/>
      <c r="P9" s="374"/>
    </row>
    <row r="10" spans="1:16" ht="19.5" customHeight="1">
      <c r="A10" s="372"/>
      <c r="B10" s="372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74"/>
      <c r="P10" s="374"/>
    </row>
    <row r="11" spans="1:16" ht="28.5" customHeight="1">
      <c r="A11" s="372"/>
      <c r="B11" s="372"/>
      <c r="C11" s="377" t="s">
        <v>235</v>
      </c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78" t="s">
        <v>0</v>
      </c>
      <c r="O11" s="374"/>
      <c r="P11" s="374"/>
    </row>
    <row r="12" spans="1:16" ht="19.5" customHeight="1">
      <c r="A12" s="372"/>
      <c r="B12" s="372"/>
      <c r="C12" s="361"/>
      <c r="D12" s="337"/>
      <c r="E12" s="337"/>
      <c r="F12" s="337"/>
      <c r="G12" s="337"/>
      <c r="H12" s="337"/>
      <c r="I12" s="337"/>
      <c r="J12" s="337"/>
      <c r="K12" s="337"/>
      <c r="L12" s="362"/>
      <c r="M12" s="337"/>
      <c r="N12" s="337"/>
      <c r="O12" s="374"/>
      <c r="P12" s="374"/>
    </row>
    <row r="13" spans="1:16" ht="19.5" customHeight="1">
      <c r="A13" s="372"/>
      <c r="B13" s="372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374"/>
      <c r="P13" s="374"/>
    </row>
    <row r="14" spans="1:16" ht="19.5" customHeight="1">
      <c r="A14" s="372"/>
      <c r="B14" s="372"/>
      <c r="C14" s="379" t="s">
        <v>1</v>
      </c>
      <c r="D14" s="363"/>
      <c r="E14" s="363"/>
      <c r="F14" s="363"/>
      <c r="G14" s="363"/>
      <c r="H14" s="363"/>
      <c r="I14" s="337"/>
      <c r="J14" s="364"/>
      <c r="K14" s="380" t="s">
        <v>22</v>
      </c>
      <c r="L14" s="19"/>
      <c r="M14" s="16"/>
      <c r="N14" s="144"/>
      <c r="O14" s="374"/>
      <c r="P14" s="374"/>
    </row>
    <row r="15" spans="1:16" ht="19.5" customHeight="1">
      <c r="A15" s="372"/>
      <c r="B15" s="372"/>
      <c r="C15" s="337"/>
      <c r="D15" s="363"/>
      <c r="E15" s="363"/>
      <c r="F15" s="363"/>
      <c r="G15" s="363"/>
      <c r="H15" s="363"/>
      <c r="I15" s="337"/>
      <c r="J15" s="363"/>
      <c r="K15" s="363"/>
      <c r="L15" s="363"/>
      <c r="M15" s="363"/>
      <c r="N15" s="363"/>
      <c r="O15" s="374"/>
      <c r="P15" s="374"/>
    </row>
    <row r="16" spans="1:16" ht="19.5" customHeight="1">
      <c r="A16" s="372"/>
      <c r="B16" s="372"/>
      <c r="C16" s="425" t="s">
        <v>223</v>
      </c>
      <c r="D16" s="363"/>
      <c r="E16" s="161"/>
      <c r="F16" s="363"/>
      <c r="G16" s="363"/>
      <c r="H16" s="363"/>
      <c r="I16" s="337"/>
      <c r="J16" s="337"/>
      <c r="K16" s="12" t="s">
        <v>72</v>
      </c>
      <c r="L16" s="337"/>
      <c r="M16" s="12"/>
      <c r="N16" s="41">
        <f>IF(SUM('DCF Model'!F107:M107)=0,0,1)</f>
        <v>0</v>
      </c>
      <c r="O16" s="374"/>
      <c r="P16" s="374"/>
    </row>
    <row r="17" spans="1:23" ht="19.5" customHeight="1">
      <c r="A17" s="372"/>
      <c r="B17" s="372"/>
      <c r="C17" s="425" t="s">
        <v>176</v>
      </c>
      <c r="D17" s="363"/>
      <c r="E17" s="363"/>
      <c r="F17" s="363"/>
      <c r="G17" s="363"/>
      <c r="H17" s="363"/>
      <c r="I17" s="337"/>
      <c r="J17" s="337"/>
      <c r="K17" s="12"/>
      <c r="L17" s="337"/>
      <c r="M17" s="12"/>
      <c r="N17" s="21"/>
      <c r="O17" s="374"/>
      <c r="P17" s="374"/>
    </row>
    <row r="18" spans="1:23" ht="19.5" customHeight="1">
      <c r="A18" s="372"/>
      <c r="B18" s="372"/>
      <c r="C18" s="425" t="s">
        <v>190</v>
      </c>
      <c r="D18" s="363"/>
      <c r="E18" s="363"/>
      <c r="F18" s="363"/>
      <c r="G18" s="363"/>
      <c r="H18" s="363"/>
      <c r="I18" s="337"/>
      <c r="J18" s="337"/>
      <c r="K18" s="337"/>
      <c r="L18" s="337"/>
      <c r="M18" s="337"/>
      <c r="N18" s="337"/>
      <c r="O18" s="374"/>
      <c r="P18" s="374"/>
    </row>
    <row r="19" spans="1:23" ht="19.5" customHeight="1">
      <c r="A19" s="372"/>
      <c r="B19" s="372"/>
      <c r="C19" s="337"/>
      <c r="D19" s="363"/>
      <c r="E19" s="363"/>
      <c r="F19" s="363"/>
      <c r="G19" s="363"/>
      <c r="H19" s="363"/>
      <c r="I19" s="337"/>
      <c r="J19" s="337"/>
      <c r="K19" s="337"/>
      <c r="L19" s="337"/>
      <c r="M19" s="337"/>
      <c r="N19" s="337"/>
      <c r="O19" s="374"/>
      <c r="P19" s="374"/>
    </row>
    <row r="20" spans="1:23" ht="19.5" customHeight="1">
      <c r="A20" s="372"/>
      <c r="B20" s="372"/>
      <c r="C20" s="161"/>
      <c r="D20" s="363"/>
      <c r="E20" s="363"/>
      <c r="F20" s="363"/>
      <c r="G20" s="363"/>
      <c r="H20" s="363"/>
      <c r="I20" s="12"/>
      <c r="J20" s="337"/>
      <c r="K20" s="337"/>
      <c r="L20" s="337"/>
      <c r="M20" s="12"/>
      <c r="N20" s="14"/>
      <c r="O20" s="374"/>
      <c r="P20" s="374"/>
    </row>
    <row r="21" spans="1:23" ht="19.5" customHeight="1">
      <c r="A21" s="372"/>
      <c r="B21" s="372"/>
      <c r="C21" s="337"/>
      <c r="D21" s="365"/>
      <c r="E21" s="365"/>
      <c r="F21" s="365"/>
      <c r="G21" s="363"/>
      <c r="H21" s="363"/>
      <c r="I21" s="12"/>
      <c r="J21" s="337"/>
      <c r="K21" s="337"/>
      <c r="L21" s="337"/>
      <c r="M21" s="12"/>
      <c r="N21" s="14"/>
      <c r="O21" s="374"/>
      <c r="P21" s="374"/>
    </row>
    <row r="22" spans="1:23" ht="19.5" customHeight="1">
      <c r="A22" s="372"/>
      <c r="B22" s="372"/>
      <c r="C22" s="337"/>
      <c r="D22" s="337"/>
      <c r="E22" s="337"/>
      <c r="F22" s="337"/>
      <c r="G22" s="363"/>
      <c r="H22" s="363"/>
      <c r="I22" s="12"/>
      <c r="J22" s="337"/>
      <c r="K22" s="337"/>
      <c r="L22" s="337"/>
      <c r="M22" s="12"/>
      <c r="N22" s="14"/>
      <c r="O22" s="374"/>
      <c r="P22" s="374"/>
    </row>
    <row r="23" spans="1:23" ht="19.5" customHeight="1">
      <c r="A23" s="372"/>
      <c r="B23" s="372"/>
      <c r="C23" s="366"/>
      <c r="D23" s="367"/>
      <c r="E23" s="337"/>
      <c r="F23" s="368"/>
      <c r="G23" s="363"/>
      <c r="H23" s="363"/>
      <c r="I23" s="337"/>
      <c r="J23" s="337"/>
      <c r="K23" s="337"/>
      <c r="L23" s="337"/>
      <c r="M23" s="337"/>
      <c r="N23" s="337"/>
      <c r="O23" s="374"/>
      <c r="P23" s="374"/>
      <c r="R23" s="17"/>
      <c r="W23" s="17"/>
    </row>
    <row r="24" spans="1:23" ht="19.5" customHeight="1">
      <c r="A24" s="372"/>
      <c r="B24" s="372"/>
      <c r="C24" s="145"/>
      <c r="D24" s="145"/>
      <c r="E24" s="145"/>
      <c r="F24" s="145"/>
      <c r="G24" s="363"/>
      <c r="H24" s="363"/>
      <c r="I24" s="337"/>
      <c r="J24" s="337"/>
      <c r="K24" s="337"/>
      <c r="L24" s="337"/>
      <c r="M24" s="337"/>
      <c r="N24" s="337"/>
      <c r="O24" s="374"/>
      <c r="P24" s="374"/>
    </row>
    <row r="25" spans="1:23" ht="19.5" customHeight="1">
      <c r="A25" s="372"/>
      <c r="B25" s="372"/>
      <c r="C25" s="146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74"/>
      <c r="P25" s="374"/>
    </row>
    <row r="26" spans="1:23" ht="19.5" customHeight="1">
      <c r="A26" s="372"/>
      <c r="B26" s="372"/>
      <c r="C26" s="421"/>
      <c r="D26" s="424"/>
      <c r="E26" s="424"/>
      <c r="F26" s="363"/>
      <c r="G26" s="363"/>
      <c r="H26" s="363"/>
      <c r="I26" s="363"/>
      <c r="J26" s="363"/>
      <c r="K26" s="363"/>
      <c r="L26" s="363"/>
      <c r="M26" s="363"/>
      <c r="N26" s="363"/>
      <c r="O26" s="374"/>
      <c r="P26" s="374"/>
    </row>
    <row r="27" spans="1:23" ht="19.5" customHeight="1">
      <c r="A27" s="372"/>
      <c r="B27" s="372"/>
      <c r="C27" s="421"/>
      <c r="D27" s="422"/>
      <c r="E27" s="423"/>
      <c r="F27" s="363"/>
      <c r="G27" s="363"/>
      <c r="H27" s="363"/>
      <c r="I27" s="363"/>
      <c r="J27" s="363"/>
      <c r="K27" s="363"/>
      <c r="L27" s="363"/>
      <c r="M27" s="363"/>
      <c r="N27" s="363"/>
      <c r="O27" s="374"/>
      <c r="P27" s="374"/>
    </row>
    <row r="28" spans="1:23" ht="19.5" customHeight="1">
      <c r="A28" s="372"/>
      <c r="B28" s="372"/>
      <c r="C28" s="421"/>
      <c r="D28" s="422"/>
      <c r="E28" s="423"/>
      <c r="F28" s="363"/>
      <c r="G28" s="363"/>
      <c r="H28" s="363"/>
      <c r="I28" s="363"/>
      <c r="J28" s="363"/>
      <c r="K28" s="363"/>
      <c r="L28" s="363"/>
      <c r="M28" s="363"/>
      <c r="N28" s="363"/>
      <c r="O28" s="374"/>
      <c r="P28" s="374"/>
    </row>
    <row r="29" spans="1:23" ht="19.5" customHeight="1">
      <c r="A29" s="372"/>
      <c r="B29" s="372"/>
      <c r="C29" s="15"/>
      <c r="D29" s="363"/>
      <c r="E29" s="363"/>
      <c r="F29" s="363"/>
      <c r="G29" s="363"/>
      <c r="H29" s="363"/>
      <c r="I29" s="363"/>
      <c r="J29" s="363"/>
      <c r="K29" s="363"/>
      <c r="L29" s="363"/>
      <c r="M29" s="363"/>
      <c r="N29" s="363"/>
      <c r="O29" s="374"/>
      <c r="P29" s="374"/>
    </row>
    <row r="30" spans="1:23" ht="19.5" customHeight="1">
      <c r="A30" s="372"/>
      <c r="B30" s="372"/>
      <c r="C30" s="15"/>
      <c r="D30" s="363"/>
      <c r="E30" s="363"/>
      <c r="F30" s="363"/>
      <c r="G30" s="363"/>
      <c r="H30" s="363"/>
      <c r="I30" s="363"/>
      <c r="J30" s="363"/>
      <c r="K30" s="363"/>
      <c r="L30" s="363"/>
      <c r="M30" s="363"/>
      <c r="N30" s="363"/>
      <c r="O30" s="374"/>
      <c r="P30" s="374"/>
    </row>
    <row r="31" spans="1:23" ht="19.5" customHeight="1">
      <c r="A31" s="372"/>
      <c r="B31" s="372"/>
      <c r="C31" s="430" t="s">
        <v>237</v>
      </c>
      <c r="D31" s="369"/>
      <c r="E31" s="369"/>
      <c r="F31" s="369"/>
      <c r="G31" s="369"/>
      <c r="H31" s="369"/>
      <c r="I31" s="369"/>
      <c r="J31" s="369"/>
      <c r="K31" s="369"/>
      <c r="L31" s="369"/>
      <c r="M31" s="369"/>
      <c r="N31" s="369"/>
      <c r="O31" s="374"/>
      <c r="P31" s="374"/>
    </row>
    <row r="32" spans="1:23" ht="19.5" customHeight="1">
      <c r="A32" s="372"/>
      <c r="B32" s="372"/>
      <c r="C32" s="428" t="s">
        <v>236</v>
      </c>
      <c r="D32" s="429"/>
      <c r="E32" s="429"/>
      <c r="F32" s="429"/>
      <c r="G32" s="429"/>
      <c r="H32" s="429"/>
      <c r="I32" s="429"/>
      <c r="J32" s="429"/>
      <c r="K32" s="429"/>
      <c r="L32" s="429"/>
      <c r="M32" s="429"/>
      <c r="N32" s="429"/>
      <c r="O32" s="374"/>
      <c r="P32" s="374"/>
    </row>
    <row r="33" spans="1:16" ht="19.5" customHeight="1">
      <c r="A33" s="372"/>
      <c r="B33" s="372"/>
      <c r="C33" s="429"/>
      <c r="D33" s="429"/>
      <c r="E33" s="429"/>
      <c r="F33" s="429"/>
      <c r="G33" s="429"/>
      <c r="H33" s="429"/>
      <c r="I33" s="429"/>
      <c r="J33" s="429"/>
      <c r="K33" s="429"/>
      <c r="L33" s="429"/>
      <c r="M33" s="429"/>
      <c r="N33" s="429"/>
      <c r="O33" s="374"/>
      <c r="P33" s="374"/>
    </row>
    <row r="34" spans="1:16" ht="19.5" customHeight="1">
      <c r="A34" s="372"/>
      <c r="B34" s="372"/>
      <c r="C34" s="429"/>
      <c r="D34" s="429"/>
      <c r="E34" s="429"/>
      <c r="F34" s="429"/>
      <c r="G34" s="429"/>
      <c r="H34" s="429"/>
      <c r="I34" s="429"/>
      <c r="J34" s="429"/>
      <c r="K34" s="429"/>
      <c r="L34" s="429"/>
      <c r="M34" s="429"/>
      <c r="N34" s="429"/>
      <c r="O34" s="374"/>
      <c r="P34" s="374"/>
    </row>
    <row r="35" spans="1:16" ht="19.5" customHeight="1">
      <c r="A35" s="372"/>
      <c r="B35" s="372"/>
      <c r="C35" s="381"/>
      <c r="D35" s="369"/>
      <c r="E35" s="369"/>
      <c r="F35" s="369"/>
      <c r="G35" s="369"/>
      <c r="H35" s="369"/>
      <c r="I35" s="369"/>
      <c r="J35" s="369"/>
      <c r="K35" s="369"/>
      <c r="L35" s="369"/>
      <c r="M35" s="369"/>
      <c r="N35" s="369"/>
      <c r="O35" s="374"/>
      <c r="P35" s="374"/>
    </row>
    <row r="36" spans="1:16" ht="19.5" customHeight="1">
      <c r="A36" s="372"/>
      <c r="B36" s="372"/>
      <c r="C36" s="432" t="s">
        <v>238</v>
      </c>
      <c r="D36" s="431"/>
      <c r="E36" s="431"/>
      <c r="F36" s="431"/>
      <c r="G36" s="431"/>
      <c r="H36" s="431"/>
      <c r="I36" s="431"/>
      <c r="J36" s="431"/>
      <c r="K36" s="431"/>
      <c r="L36" s="431"/>
      <c r="M36" s="431"/>
      <c r="N36" s="431"/>
      <c r="O36" s="374"/>
      <c r="P36" s="374"/>
    </row>
    <row r="37" spans="1:16" ht="19.5" customHeight="1">
      <c r="A37" s="372"/>
      <c r="B37" s="372"/>
      <c r="C37" s="370"/>
      <c r="D37" s="369"/>
      <c r="E37" s="369"/>
      <c r="F37" s="369"/>
      <c r="G37" s="369"/>
      <c r="H37" s="369"/>
      <c r="I37" s="369"/>
      <c r="J37" s="369"/>
      <c r="K37" s="369"/>
      <c r="L37" s="369"/>
      <c r="M37" s="369"/>
      <c r="N37" s="369"/>
      <c r="O37" s="374"/>
      <c r="P37" s="374"/>
    </row>
    <row r="38" spans="1:16" ht="19.5" customHeight="1">
      <c r="A38" s="372"/>
      <c r="B38" s="372"/>
      <c r="C38" s="370"/>
      <c r="D38" s="369"/>
      <c r="E38" s="369"/>
      <c r="F38" s="369"/>
      <c r="G38" s="369"/>
      <c r="H38" s="369"/>
      <c r="I38" s="369"/>
      <c r="J38" s="369"/>
      <c r="K38" s="369"/>
      <c r="L38" s="369"/>
      <c r="M38" s="369"/>
      <c r="N38" s="369"/>
      <c r="O38" s="374"/>
      <c r="P38" s="374"/>
    </row>
    <row r="39" spans="1:16" ht="19.5" customHeight="1" thickBot="1">
      <c r="A39" s="372"/>
      <c r="B39" s="373"/>
      <c r="C39" s="371"/>
      <c r="D39" s="371"/>
      <c r="E39" s="371"/>
      <c r="F39" s="371"/>
      <c r="G39" s="371"/>
      <c r="H39" s="371"/>
      <c r="I39" s="371"/>
      <c r="J39" s="371"/>
      <c r="K39" s="371"/>
      <c r="L39" s="371"/>
      <c r="M39" s="371"/>
      <c r="N39" s="371"/>
      <c r="O39" s="375" t="s">
        <v>21</v>
      </c>
      <c r="P39" s="374"/>
    </row>
    <row r="40" spans="1:16" ht="19.5" customHeight="1" thickTop="1" thickBot="1">
      <c r="A40" s="373"/>
      <c r="B40" s="371"/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1"/>
      <c r="N40" s="371"/>
      <c r="O40" s="371"/>
      <c r="P40" s="375" t="s">
        <v>21</v>
      </c>
    </row>
    <row r="41" spans="1:16" ht="19.5" customHeight="1" thickTop="1"/>
  </sheetData>
  <mergeCells count="3">
    <mergeCell ref="C4:M4"/>
    <mergeCell ref="C6:M6"/>
    <mergeCell ref="C32:N34"/>
  </mergeCells>
  <conditionalFormatting sqref="N16">
    <cfRule type="expression" dxfId="2" priority="1">
      <formula>N16=1</formula>
    </cfRule>
  </conditionalFormatting>
  <conditionalFormatting sqref="N17">
    <cfRule type="expression" dxfId="1" priority="2">
      <formula>N17=1</formula>
    </cfRule>
  </conditionalFormatting>
  <hyperlinks>
    <hyperlink ref="C16" location="'DCF Model'!A1" tooltip="DCF Model" display="DCF Model" xr:uid="{1CE2ECB4-77BB-4401-9EC8-BF79CE81A799}"/>
    <hyperlink ref="C17" location="'Relative Valuation'!A1" tooltip="Relative Valuation" display="Relative Valuation" xr:uid="{BB8B24FE-EF89-4479-AB8F-254ED97C5510}"/>
    <hyperlink ref="C18" location="'Football Field Chart'!A1" tooltip="Football Field Chart" display="Football Field Chart" xr:uid="{4F9E1571-27CF-44E8-849F-5FC8698CA462}"/>
    <hyperlink ref="C36" r:id="rId1" tooltip="Visit Zaigham Ali's portfolio" xr:uid="{5732F75F-91CC-48D8-BE55-5815A439B818}"/>
  </hyperlinks>
  <printOptions horizontalCentered="1" verticalCentered="1"/>
  <pageMargins left="0.31496062992125984" right="0.31496062992125984" top="0.31496062992125984" bottom="0.31496062992125984" header="0.31496062992125984" footer="0.31496062992125984"/>
  <pageSetup scale="7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D684B-BC30-455C-935A-0A8F8A46094B}">
  <sheetPr>
    <pageSetUpPr autoPageBreaks="0"/>
  </sheetPr>
  <dimension ref="A1:P336"/>
  <sheetViews>
    <sheetView showGridLines="0" zoomScale="85" zoomScaleNormal="85" zoomScaleSheetLayoutView="85" workbookViewId="0">
      <pane ySplit="1" topLeftCell="A2" activePane="bottomLeft" state="frozen"/>
      <selection activeCell="B26" sqref="B26"/>
      <selection pane="bottomLeft" activeCell="A3" sqref="A3"/>
    </sheetView>
  </sheetViews>
  <sheetFormatPr defaultColWidth="9.109375" defaultRowHeight="15" customHeight="1" outlineLevelRow="1"/>
  <cols>
    <col min="1" max="1" width="9.109375" style="85" customWidth="1"/>
    <col min="2" max="2" width="20.33203125" style="85" customWidth="1"/>
    <col min="3" max="3" width="12.6640625" style="85" customWidth="1"/>
    <col min="4" max="4" width="8.88671875" style="85" customWidth="1"/>
    <col min="5" max="5" width="9.6640625" style="85" customWidth="1"/>
    <col min="6" max="13" width="10.21875" style="85" customWidth="1"/>
    <col min="14" max="16" width="9.109375" style="85" customWidth="1"/>
    <col min="17" max="17" width="10.77734375" style="85" bestFit="1" customWidth="1"/>
    <col min="18" max="16384" width="9.109375" style="85"/>
  </cols>
  <sheetData>
    <row r="1" spans="1:16" s="10" customFormat="1" ht="55.05" customHeight="1" thickTop="1">
      <c r="A1" s="244"/>
      <c r="B1" s="243" t="s">
        <v>230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52"/>
      <c r="O1" s="2"/>
      <c r="P1" s="18"/>
    </row>
    <row r="2" spans="1:16" s="2" customFormat="1" ht="15" customHeight="1">
      <c r="A2" s="245"/>
      <c r="B2" s="148"/>
      <c r="C2" s="149"/>
      <c r="D2" s="150"/>
      <c r="E2" s="151"/>
      <c r="F2" s="152"/>
      <c r="G2" s="152"/>
      <c r="H2" s="152"/>
      <c r="I2" s="153"/>
      <c r="J2" s="153"/>
      <c r="K2" s="153"/>
      <c r="L2" s="153"/>
      <c r="M2" s="153"/>
      <c r="N2" s="253"/>
      <c r="O2" s="5"/>
    </row>
    <row r="3" spans="1:16" s="1" customFormat="1" ht="15" customHeight="1">
      <c r="A3" s="245" t="s">
        <v>21</v>
      </c>
      <c r="B3" s="407" t="s">
        <v>8</v>
      </c>
      <c r="C3" s="407"/>
      <c r="D3" s="407"/>
      <c r="E3" s="407"/>
      <c r="F3" s="409"/>
      <c r="G3" s="409"/>
      <c r="H3" s="409"/>
      <c r="I3" s="409"/>
      <c r="J3" s="409"/>
      <c r="K3" s="409"/>
      <c r="L3" s="409"/>
      <c r="M3" s="409"/>
      <c r="N3" s="408"/>
    </row>
    <row r="4" spans="1:16" s="1" customFormat="1" ht="15" customHeight="1" outlineLevel="1">
      <c r="A4" s="246"/>
      <c r="B4" s="156"/>
      <c r="C4" s="149"/>
      <c r="D4" s="157"/>
      <c r="E4" s="157"/>
      <c r="F4" s="158"/>
      <c r="G4" s="158"/>
      <c r="H4" s="158"/>
      <c r="I4" s="158"/>
      <c r="J4" s="158"/>
      <c r="K4" s="158"/>
      <c r="L4" s="158"/>
      <c r="M4" s="158"/>
      <c r="N4" s="254"/>
      <c r="P4" s="17"/>
    </row>
    <row r="5" spans="1:16" s="1" customFormat="1" ht="15" customHeight="1" outlineLevel="1" thickBot="1">
      <c r="A5" s="246"/>
      <c r="B5" s="159" t="s">
        <v>5</v>
      </c>
      <c r="C5" s="149"/>
      <c r="D5" s="151"/>
      <c r="E5" s="151"/>
      <c r="F5" s="205">
        <f>G5-1</f>
        <v>2020</v>
      </c>
      <c r="G5" s="205">
        <f>H5-1</f>
        <v>2021</v>
      </c>
      <c r="H5" s="205">
        <f>I5-1</f>
        <v>2022</v>
      </c>
      <c r="I5" s="415">
        <v>2023</v>
      </c>
      <c r="J5" s="416">
        <f>I5+1</f>
        <v>2024</v>
      </c>
      <c r="K5" s="416">
        <f>J5+1</f>
        <v>2025</v>
      </c>
      <c r="L5" s="416">
        <f>K5+1</f>
        <v>2026</v>
      </c>
      <c r="M5" s="416">
        <f>L5+1</f>
        <v>2027</v>
      </c>
      <c r="N5" s="254"/>
      <c r="P5" s="17"/>
    </row>
    <row r="6" spans="1:16" s="10" customFormat="1" ht="15" customHeight="1" outlineLevel="1">
      <c r="A6" s="245"/>
      <c r="B6" s="159"/>
      <c r="C6" s="149"/>
      <c r="D6" s="151"/>
      <c r="E6" s="151"/>
      <c r="F6" s="414"/>
      <c r="G6" s="414"/>
      <c r="H6" s="414"/>
      <c r="I6" s="160"/>
      <c r="J6" s="160"/>
      <c r="K6" s="160"/>
      <c r="L6" s="160"/>
      <c r="M6" s="160"/>
      <c r="N6" s="255"/>
      <c r="P6" s="17"/>
    </row>
    <row r="7" spans="1:16" s="1" customFormat="1" ht="15" customHeight="1" outlineLevel="1">
      <c r="A7" s="246"/>
      <c r="B7" s="159"/>
      <c r="C7" s="149"/>
      <c r="D7" s="151"/>
      <c r="E7" s="151"/>
      <c r="F7" s="151"/>
      <c r="G7" s="151"/>
      <c r="H7" s="151"/>
      <c r="I7" s="155"/>
      <c r="J7" s="155"/>
      <c r="K7" s="155"/>
      <c r="L7" s="155"/>
      <c r="M7" s="155"/>
      <c r="N7" s="254"/>
    </row>
    <row r="8" spans="1:16" s="2" customFormat="1" ht="15" customHeight="1" outlineLevel="1">
      <c r="A8" s="245"/>
      <c r="B8" s="162" t="s">
        <v>2</v>
      </c>
      <c r="C8" s="163"/>
      <c r="D8" s="151"/>
      <c r="E8" s="163"/>
      <c r="F8" s="164">
        <v>50589</v>
      </c>
      <c r="G8" s="164">
        <v>51647.864999999998</v>
      </c>
      <c r="H8" s="164">
        <v>53760.85</v>
      </c>
      <c r="I8" s="164">
        <v>56481.149010000008</v>
      </c>
      <c r="J8" s="164">
        <v>57616.420105100995</v>
      </c>
      <c r="K8" s="164">
        <v>58774.510149213536</v>
      </c>
      <c r="L8" s="164">
        <v>59659.066526959185</v>
      </c>
      <c r="M8" s="164">
        <v>60257.148668891932</v>
      </c>
      <c r="N8" s="256"/>
      <c r="P8" s="17"/>
    </row>
    <row r="9" spans="1:16" s="2" customFormat="1" ht="15" customHeight="1" outlineLevel="1">
      <c r="A9" s="245"/>
      <c r="B9" s="162" t="s">
        <v>20</v>
      </c>
      <c r="C9" s="163"/>
      <c r="D9" s="163"/>
      <c r="E9" s="163"/>
      <c r="F9" s="129">
        <v>-24544.3</v>
      </c>
      <c r="G9" s="129">
        <v>-25104.0144</v>
      </c>
      <c r="H9" s="129">
        <v>-25779.4015</v>
      </c>
      <c r="I9" s="129">
        <v>-27110.951524800003</v>
      </c>
      <c r="J9" s="129">
        <v>-27655.881650448475</v>
      </c>
      <c r="K9" s="129">
        <v>-28211.764871622498</v>
      </c>
      <c r="L9" s="129">
        <v>-28636.351932940408</v>
      </c>
      <c r="M9" s="129">
        <v>-28923.431361068127</v>
      </c>
      <c r="N9" s="256"/>
      <c r="P9" s="17"/>
    </row>
    <row r="10" spans="1:16" s="2" customFormat="1" ht="15" customHeight="1" outlineLevel="1">
      <c r="A10" s="245"/>
      <c r="B10" s="165" t="s">
        <v>9</v>
      </c>
      <c r="C10" s="166"/>
      <c r="D10" s="163"/>
      <c r="E10" s="163"/>
      <c r="F10" s="167">
        <f t="shared" ref="F10:H10" si="0">SUM(F8:F9)</f>
        <v>26044.7</v>
      </c>
      <c r="G10" s="167">
        <f t="shared" si="0"/>
        <v>26543.850599999998</v>
      </c>
      <c r="H10" s="167">
        <f t="shared" si="0"/>
        <v>27981.448499999999</v>
      </c>
      <c r="I10" s="167">
        <f t="shared" ref="I10:M10" si="1">SUM(I8:I9)</f>
        <v>29370.197485200006</v>
      </c>
      <c r="J10" s="167">
        <f t="shared" si="1"/>
        <v>29960.53845465252</v>
      </c>
      <c r="K10" s="167">
        <f t="shared" si="1"/>
        <v>30562.745277591039</v>
      </c>
      <c r="L10" s="167">
        <f t="shared" si="1"/>
        <v>31022.714594018777</v>
      </c>
      <c r="M10" s="167">
        <f t="shared" si="1"/>
        <v>31333.717307823805</v>
      </c>
      <c r="N10" s="256"/>
      <c r="P10" s="17"/>
    </row>
    <row r="11" spans="1:16" s="2" customFormat="1" ht="15" customHeight="1" outlineLevel="1">
      <c r="A11" s="245"/>
      <c r="B11" s="165"/>
      <c r="C11" s="166"/>
      <c r="D11" s="163"/>
      <c r="E11" s="163"/>
      <c r="F11" s="168"/>
      <c r="G11" s="168"/>
      <c r="H11" s="168"/>
      <c r="I11" s="169"/>
      <c r="J11" s="169"/>
      <c r="K11" s="169"/>
      <c r="L11" s="169"/>
      <c r="M11" s="169"/>
      <c r="N11" s="256"/>
      <c r="P11" s="5"/>
    </row>
    <row r="12" spans="1:16" s="2" customFormat="1" ht="15" customHeight="1" outlineLevel="1">
      <c r="A12" s="245"/>
      <c r="B12" s="162"/>
      <c r="C12" s="163"/>
      <c r="D12" s="163"/>
      <c r="E12" s="163"/>
      <c r="F12" s="168"/>
      <c r="G12" s="168"/>
      <c r="H12" s="168"/>
      <c r="I12" s="23"/>
      <c r="J12" s="23"/>
      <c r="K12" s="23"/>
      <c r="L12" s="23"/>
      <c r="M12" s="23"/>
      <c r="N12" s="256"/>
    </row>
    <row r="13" spans="1:16" s="2" customFormat="1" ht="15" customHeight="1" outlineLevel="1">
      <c r="A13" s="245"/>
      <c r="B13" s="162" t="s">
        <v>18</v>
      </c>
      <c r="C13" s="163"/>
      <c r="D13" s="163"/>
      <c r="E13" s="163"/>
      <c r="F13" s="164">
        <v>-5877</v>
      </c>
      <c r="G13" s="164">
        <v>-6006</v>
      </c>
      <c r="H13" s="164">
        <v>-6144</v>
      </c>
      <c r="I13" s="164">
        <v>-6359.0399999999991</v>
      </c>
      <c r="J13" s="164">
        <v>-6549.8111999999992</v>
      </c>
      <c r="K13" s="164">
        <v>-6746.3055359999989</v>
      </c>
      <c r="L13" s="164">
        <v>-6914.963174399998</v>
      </c>
      <c r="M13" s="164">
        <v>-7087.8372537599971</v>
      </c>
      <c r="N13" s="256"/>
    </row>
    <row r="14" spans="1:16" s="2" customFormat="1" ht="15" customHeight="1" outlineLevel="1">
      <c r="A14" s="245"/>
      <c r="B14" s="162" t="s">
        <v>14</v>
      </c>
      <c r="C14" s="163"/>
      <c r="D14" s="163"/>
      <c r="E14" s="163"/>
      <c r="F14" s="129">
        <v>-1764</v>
      </c>
      <c r="G14" s="129">
        <v>-1931</v>
      </c>
      <c r="H14" s="129">
        <v>-2026</v>
      </c>
      <c r="I14" s="129">
        <v>-2096.91</v>
      </c>
      <c r="J14" s="129">
        <v>-2159.8172999999997</v>
      </c>
      <c r="K14" s="129">
        <v>-2224.6118189999997</v>
      </c>
      <c r="L14" s="129">
        <v>-2280.2271144749993</v>
      </c>
      <c r="M14" s="129">
        <v>-2337.2327923368739</v>
      </c>
      <c r="N14" s="256"/>
    </row>
    <row r="15" spans="1:16" s="2" customFormat="1" ht="15" customHeight="1" outlineLevel="1">
      <c r="A15" s="245"/>
      <c r="B15" s="165" t="s">
        <v>10</v>
      </c>
      <c r="C15" s="166"/>
      <c r="D15" s="163"/>
      <c r="E15" s="163"/>
      <c r="F15" s="167">
        <f t="shared" ref="F15:H15" si="2">F10+SUM(F13:F14)</f>
        <v>18403.7</v>
      </c>
      <c r="G15" s="167">
        <f t="shared" si="2"/>
        <v>18606.850599999998</v>
      </c>
      <c r="H15" s="167">
        <f t="shared" si="2"/>
        <v>19811.448499999999</v>
      </c>
      <c r="I15" s="167">
        <f t="shared" ref="I15:M15" si="3">I10+SUM(I13:I14)</f>
        <v>20914.247485200009</v>
      </c>
      <c r="J15" s="167">
        <f t="shared" si="3"/>
        <v>21250.909954652521</v>
      </c>
      <c r="K15" s="167">
        <f t="shared" si="3"/>
        <v>21591.827922591041</v>
      </c>
      <c r="L15" s="167">
        <f t="shared" si="3"/>
        <v>21827.524305143779</v>
      </c>
      <c r="M15" s="167">
        <f t="shared" si="3"/>
        <v>21908.647261726932</v>
      </c>
      <c r="N15" s="256"/>
      <c r="P15" s="17"/>
    </row>
    <row r="16" spans="1:16" s="2" customFormat="1" ht="15" customHeight="1" outlineLevel="1">
      <c r="A16" s="245"/>
      <c r="B16" s="165"/>
      <c r="C16" s="166"/>
      <c r="D16" s="163"/>
      <c r="E16" s="163"/>
      <c r="F16" s="168"/>
      <c r="G16" s="168"/>
      <c r="H16" s="168"/>
      <c r="I16" s="169"/>
      <c r="J16" s="169"/>
      <c r="K16" s="169"/>
      <c r="L16" s="169"/>
      <c r="M16" s="169"/>
      <c r="N16" s="256"/>
    </row>
    <row r="17" spans="1:16" s="2" customFormat="1" ht="15" customHeight="1" outlineLevel="1">
      <c r="A17" s="245"/>
      <c r="B17" s="162"/>
      <c r="C17" s="163"/>
      <c r="D17" s="163"/>
      <c r="E17" s="163"/>
      <c r="F17" s="170"/>
      <c r="G17" s="170"/>
      <c r="H17" s="170"/>
      <c r="I17" s="169"/>
      <c r="J17" s="169"/>
      <c r="K17" s="169"/>
      <c r="L17" s="169"/>
      <c r="M17" s="169"/>
      <c r="N17" s="256"/>
    </row>
    <row r="18" spans="1:16" s="2" customFormat="1" ht="15" customHeight="1" outlineLevel="1">
      <c r="A18" s="245"/>
      <c r="B18" s="162" t="s">
        <v>11</v>
      </c>
      <c r="C18" s="163"/>
      <c r="D18" s="163"/>
      <c r="E18" s="163"/>
      <c r="F18" s="129">
        <v>-2960</v>
      </c>
      <c r="G18" s="129">
        <v>-3196</v>
      </c>
      <c r="H18" s="129">
        <v>-3452</v>
      </c>
      <c r="I18" s="129">
        <v>-4287.75</v>
      </c>
      <c r="J18" s="129">
        <v>-4636.5</v>
      </c>
      <c r="K18" s="129">
        <v>-4994.625</v>
      </c>
      <c r="L18" s="129">
        <v>-5356.5</v>
      </c>
      <c r="M18" s="129">
        <v>-5728.6875</v>
      </c>
      <c r="N18" s="256"/>
    </row>
    <row r="19" spans="1:16" s="2" customFormat="1" ht="15" customHeight="1" outlineLevel="1">
      <c r="A19" s="245"/>
      <c r="B19" s="165" t="s">
        <v>12</v>
      </c>
      <c r="C19" s="166"/>
      <c r="D19" s="163"/>
      <c r="E19" s="163"/>
      <c r="F19" s="167">
        <f t="shared" ref="F19:M19" si="4">F15+SUM(F18:F18)</f>
        <v>15443.7</v>
      </c>
      <c r="G19" s="167">
        <f t="shared" si="4"/>
        <v>15410.850599999998</v>
      </c>
      <c r="H19" s="167">
        <f t="shared" si="4"/>
        <v>16359.448499999999</v>
      </c>
      <c r="I19" s="167">
        <f t="shared" si="4"/>
        <v>16626.497485200009</v>
      </c>
      <c r="J19" s="167">
        <f t="shared" si="4"/>
        <v>16614.409954652521</v>
      </c>
      <c r="K19" s="167">
        <f t="shared" si="4"/>
        <v>16597.202922591041</v>
      </c>
      <c r="L19" s="167">
        <f t="shared" si="4"/>
        <v>16471.024305143779</v>
      </c>
      <c r="M19" s="167">
        <f t="shared" si="4"/>
        <v>16179.959761726932</v>
      </c>
      <c r="N19" s="256"/>
      <c r="P19" s="17"/>
    </row>
    <row r="20" spans="1:16" s="2" customFormat="1" ht="15" customHeight="1" outlineLevel="1">
      <c r="A20" s="245"/>
      <c r="B20" s="165"/>
      <c r="C20" s="166"/>
      <c r="D20" s="163"/>
      <c r="E20" s="163"/>
      <c r="F20" s="170"/>
      <c r="G20" s="170"/>
      <c r="H20" s="170"/>
      <c r="I20" s="169"/>
      <c r="J20" s="169"/>
      <c r="K20" s="169"/>
      <c r="L20" s="169"/>
      <c r="M20" s="169"/>
      <c r="N20" s="256"/>
    </row>
    <row r="21" spans="1:16" s="2" customFormat="1" ht="15" customHeight="1" outlineLevel="1">
      <c r="A21" s="245"/>
      <c r="B21" s="165"/>
      <c r="C21" s="166"/>
      <c r="D21" s="163"/>
      <c r="E21" s="163"/>
      <c r="F21" s="170"/>
      <c r="G21" s="170"/>
      <c r="H21" s="170"/>
      <c r="I21" s="169"/>
      <c r="J21" s="169"/>
      <c r="K21" s="169"/>
      <c r="L21" s="169"/>
      <c r="M21" s="169"/>
      <c r="N21" s="256"/>
    </row>
    <row r="22" spans="1:16" s="2" customFormat="1" ht="15" customHeight="1" outlineLevel="1">
      <c r="A22" s="245"/>
      <c r="B22" s="162" t="s">
        <v>17</v>
      </c>
      <c r="C22" s="163"/>
      <c r="D22" s="163"/>
      <c r="E22" s="163"/>
      <c r="F22" s="164">
        <v>-1688</v>
      </c>
      <c r="G22" s="164">
        <v>-2200</v>
      </c>
      <c r="H22" s="164">
        <v>-2350</v>
      </c>
      <c r="I22" s="164">
        <v>-1200</v>
      </c>
      <c r="J22" s="164">
        <v>-1200</v>
      </c>
      <c r="K22" s="164">
        <v>-1200</v>
      </c>
      <c r="L22" s="164">
        <v>-1200</v>
      </c>
      <c r="M22" s="164">
        <v>-1200</v>
      </c>
      <c r="N22" s="256"/>
    </row>
    <row r="23" spans="1:16" s="2" customFormat="1" ht="15" customHeight="1" outlineLevel="1">
      <c r="A23" s="245"/>
      <c r="B23" s="162" t="s">
        <v>43</v>
      </c>
      <c r="C23" s="163"/>
      <c r="D23" s="163"/>
      <c r="E23" s="163"/>
      <c r="F23" s="129">
        <v>200</v>
      </c>
      <c r="G23" s="129">
        <v>180</v>
      </c>
      <c r="H23" s="129">
        <v>193</v>
      </c>
      <c r="I23" s="129">
        <v>58.569990999999995</v>
      </c>
      <c r="J23" s="129">
        <v>114.96031107758404</v>
      </c>
      <c r="K23" s="129">
        <v>177.79522574892113</v>
      </c>
      <c r="L23" s="129">
        <v>242.22612695965014</v>
      </c>
      <c r="M23" s="129">
        <v>310.91880856509766</v>
      </c>
      <c r="N23" s="256"/>
    </row>
    <row r="24" spans="1:16" s="2" customFormat="1" ht="15" customHeight="1" outlineLevel="1">
      <c r="A24" s="245"/>
      <c r="B24" s="165" t="s">
        <v>7</v>
      </c>
      <c r="C24" s="166"/>
      <c r="D24" s="163"/>
      <c r="E24" s="163"/>
      <c r="F24" s="167">
        <f t="shared" ref="F24:L24" si="5">F19+SUM(F22:F23)</f>
        <v>13955.7</v>
      </c>
      <c r="G24" s="167">
        <f t="shared" si="5"/>
        <v>13390.850599999998</v>
      </c>
      <c r="H24" s="167">
        <f t="shared" si="5"/>
        <v>14202.448499999999</v>
      </c>
      <c r="I24" s="167">
        <f t="shared" si="5"/>
        <v>15485.067476200009</v>
      </c>
      <c r="J24" s="167">
        <f t="shared" si="5"/>
        <v>15529.370265730106</v>
      </c>
      <c r="K24" s="167">
        <f t="shared" si="5"/>
        <v>15574.998148339962</v>
      </c>
      <c r="L24" s="167">
        <f t="shared" si="5"/>
        <v>15513.250432103428</v>
      </c>
      <c r="M24" s="167">
        <f>M19+SUM(M22:M23)</f>
        <v>15290.878570292029</v>
      </c>
      <c r="N24" s="256"/>
      <c r="P24" s="17"/>
    </row>
    <row r="25" spans="1:16" s="2" customFormat="1" ht="15" customHeight="1" outlineLevel="1">
      <c r="A25" s="245"/>
      <c r="B25" s="165"/>
      <c r="C25" s="166"/>
      <c r="D25" s="163"/>
      <c r="E25" s="163"/>
      <c r="F25" s="170"/>
      <c r="G25" s="170"/>
      <c r="H25" s="170"/>
      <c r="I25" s="169"/>
      <c r="J25" s="169"/>
      <c r="K25" s="169"/>
      <c r="L25" s="169"/>
      <c r="M25" s="169"/>
      <c r="N25" s="256"/>
    </row>
    <row r="26" spans="1:16" s="2" customFormat="1" ht="15" customHeight="1" outlineLevel="1">
      <c r="A26" s="245"/>
      <c r="B26" s="165"/>
      <c r="C26" s="166"/>
      <c r="D26" s="163"/>
      <c r="E26" s="163"/>
      <c r="F26" s="170"/>
      <c r="G26" s="170"/>
      <c r="H26" s="170"/>
      <c r="I26" s="169"/>
      <c r="J26" s="169"/>
      <c r="K26" s="169"/>
      <c r="L26" s="169"/>
      <c r="M26" s="169"/>
      <c r="N26" s="256"/>
    </row>
    <row r="27" spans="1:16" s="2" customFormat="1" ht="15" customHeight="1" outlineLevel="1">
      <c r="A27" s="245"/>
      <c r="B27" s="162" t="s">
        <v>56</v>
      </c>
      <c r="C27" s="163"/>
      <c r="D27" s="163"/>
      <c r="E27" s="163"/>
      <c r="F27" s="164">
        <v>-3489</v>
      </c>
      <c r="G27" s="164">
        <v>-3080</v>
      </c>
      <c r="H27" s="164">
        <v>-3054</v>
      </c>
      <c r="I27" s="164">
        <v>-3251.8641700020016</v>
      </c>
      <c r="J27" s="164">
        <v>-3261.1677558033221</v>
      </c>
      <c r="K27" s="164">
        <v>-3270.7496111513919</v>
      </c>
      <c r="L27" s="164">
        <v>-3257.78259074172</v>
      </c>
      <c r="M27" s="164">
        <v>-3211.0844997613258</v>
      </c>
      <c r="N27" s="256"/>
      <c r="P27" s="17"/>
    </row>
    <row r="28" spans="1:16" s="2" customFormat="1" ht="15" customHeight="1" outlineLevel="1">
      <c r="A28" s="245"/>
      <c r="B28" s="162"/>
      <c r="C28" s="163"/>
      <c r="D28" s="163"/>
      <c r="E28" s="163"/>
      <c r="F28" s="171"/>
      <c r="G28" s="171"/>
      <c r="H28" s="171"/>
      <c r="I28" s="171"/>
      <c r="J28" s="171"/>
      <c r="K28" s="171"/>
      <c r="L28" s="171"/>
      <c r="M28" s="171"/>
      <c r="N28" s="256"/>
    </row>
    <row r="29" spans="1:16" s="2" customFormat="1" ht="15" customHeight="1" outlineLevel="1">
      <c r="A29" s="245"/>
      <c r="B29" s="162"/>
      <c r="C29" s="163"/>
      <c r="D29" s="163"/>
      <c r="E29" s="163"/>
      <c r="F29" s="164"/>
      <c r="G29" s="164"/>
      <c r="H29" s="164"/>
      <c r="I29" s="172"/>
      <c r="J29" s="172"/>
      <c r="K29" s="172"/>
      <c r="L29" s="172"/>
      <c r="M29" s="172"/>
      <c r="N29" s="256"/>
    </row>
    <row r="30" spans="1:16" s="2" customFormat="1" ht="15" customHeight="1" outlineLevel="1" thickBot="1">
      <c r="A30" s="245"/>
      <c r="B30" s="165" t="s">
        <v>13</v>
      </c>
      <c r="C30" s="166"/>
      <c r="D30" s="163"/>
      <c r="E30" s="163"/>
      <c r="F30" s="26">
        <f t="shared" ref="F30:M30" si="6">F27+F24</f>
        <v>10466.700000000001</v>
      </c>
      <c r="G30" s="26">
        <f t="shared" si="6"/>
        <v>10310.850599999998</v>
      </c>
      <c r="H30" s="26">
        <f t="shared" si="6"/>
        <v>11148.448499999999</v>
      </c>
      <c r="I30" s="26">
        <f t="shared" si="6"/>
        <v>12233.203306198007</v>
      </c>
      <c r="J30" s="26">
        <f t="shared" si="6"/>
        <v>12268.202509926783</v>
      </c>
      <c r="K30" s="26">
        <f t="shared" si="6"/>
        <v>12304.24853718857</v>
      </c>
      <c r="L30" s="26">
        <f t="shared" si="6"/>
        <v>12255.467841361708</v>
      </c>
      <c r="M30" s="26">
        <f t="shared" si="6"/>
        <v>12079.794070530703</v>
      </c>
      <c r="N30" s="256"/>
      <c r="P30" s="17"/>
    </row>
    <row r="31" spans="1:16" s="2" customFormat="1" ht="15" customHeight="1" outlineLevel="1">
      <c r="A31" s="245"/>
      <c r="B31" s="166"/>
      <c r="C31" s="166"/>
      <c r="D31" s="163"/>
      <c r="E31" s="163"/>
      <c r="F31" s="173"/>
      <c r="G31" s="173"/>
      <c r="H31" s="173"/>
      <c r="I31" s="173"/>
      <c r="J31" s="173"/>
      <c r="K31" s="173"/>
      <c r="L31" s="173"/>
      <c r="M31" s="173"/>
      <c r="N31" s="256"/>
    </row>
    <row r="32" spans="1:16" s="2" customFormat="1" ht="15" customHeight="1" outlineLevel="1">
      <c r="A32" s="245"/>
      <c r="B32" s="6"/>
      <c r="C32" s="6"/>
      <c r="D32" s="3"/>
      <c r="E32" s="3"/>
      <c r="F32" s="7"/>
      <c r="G32" s="7"/>
      <c r="H32" s="7"/>
      <c r="I32" s="7"/>
      <c r="J32" s="7"/>
      <c r="K32" s="7"/>
      <c r="L32" s="7"/>
      <c r="M32" s="7"/>
      <c r="N32" s="256"/>
    </row>
    <row r="33" spans="1:16" s="2" customFormat="1" ht="15" customHeight="1">
      <c r="A33" s="245"/>
      <c r="B33" s="148"/>
      <c r="C33" s="174"/>
      <c r="D33" s="150"/>
      <c r="E33" s="163"/>
      <c r="F33" s="175"/>
      <c r="G33" s="175"/>
      <c r="H33" s="175"/>
      <c r="I33" s="175"/>
      <c r="J33" s="175"/>
      <c r="K33" s="175"/>
      <c r="L33" s="175"/>
      <c r="M33" s="175"/>
      <c r="N33" s="253"/>
      <c r="O33" s="5"/>
    </row>
    <row r="34" spans="1:16" s="1" customFormat="1" ht="15" customHeight="1">
      <c r="A34" s="245" t="s">
        <v>21</v>
      </c>
      <c r="B34" s="176" t="s">
        <v>23</v>
      </c>
      <c r="C34" s="177"/>
      <c r="D34" s="177"/>
      <c r="E34" s="177"/>
      <c r="F34" s="178"/>
      <c r="G34" s="178"/>
      <c r="H34" s="178"/>
      <c r="I34" s="178"/>
      <c r="J34" s="178"/>
      <c r="K34" s="178"/>
      <c r="L34" s="178"/>
      <c r="M34" s="178"/>
      <c r="N34" s="254"/>
      <c r="P34" s="17"/>
    </row>
    <row r="35" spans="1:16" s="1" customFormat="1" ht="15" customHeight="1" outlineLevel="1">
      <c r="A35" s="246"/>
      <c r="B35" s="156"/>
      <c r="C35" s="149"/>
      <c r="D35" s="157"/>
      <c r="E35" s="157"/>
      <c r="F35" s="158"/>
      <c r="G35" s="158"/>
      <c r="H35" s="158"/>
      <c r="I35" s="158"/>
      <c r="J35" s="158"/>
      <c r="K35" s="158"/>
      <c r="L35" s="158"/>
      <c r="M35" s="158"/>
      <c r="N35" s="254"/>
    </row>
    <row r="36" spans="1:16" s="1" customFormat="1" ht="15" customHeight="1" outlineLevel="1" thickBot="1">
      <c r="A36" s="246"/>
      <c r="B36" s="159" t="s">
        <v>5</v>
      </c>
      <c r="C36" s="149"/>
      <c r="D36" s="151"/>
      <c r="E36" s="151"/>
      <c r="F36" s="24">
        <f>F$5</f>
        <v>2020</v>
      </c>
      <c r="G36" s="24">
        <f t="shared" ref="G36:M36" si="7">G$5</f>
        <v>2021</v>
      </c>
      <c r="H36" s="24">
        <f t="shared" si="7"/>
        <v>2022</v>
      </c>
      <c r="I36" s="25">
        <f t="shared" si="7"/>
        <v>2023</v>
      </c>
      <c r="J36" s="25">
        <f t="shared" si="7"/>
        <v>2024</v>
      </c>
      <c r="K36" s="25">
        <f t="shared" si="7"/>
        <v>2025</v>
      </c>
      <c r="L36" s="25">
        <f t="shared" si="7"/>
        <v>2026</v>
      </c>
      <c r="M36" s="25">
        <f t="shared" si="7"/>
        <v>2027</v>
      </c>
      <c r="N36" s="254"/>
    </row>
    <row r="37" spans="1:16" s="10" customFormat="1" ht="15" customHeight="1" outlineLevel="1">
      <c r="A37" s="245"/>
      <c r="B37" s="159"/>
      <c r="C37" s="149"/>
      <c r="D37" s="151"/>
      <c r="E37" s="151"/>
      <c r="F37" s="151"/>
      <c r="G37" s="151"/>
      <c r="H37" s="151"/>
      <c r="I37" s="160"/>
      <c r="J37" s="160"/>
      <c r="K37" s="160"/>
      <c r="L37" s="160"/>
      <c r="M37" s="160"/>
      <c r="N37" s="255"/>
      <c r="P37" s="5"/>
    </row>
    <row r="38" spans="1:16" s="1" customFormat="1" ht="15" customHeight="1" outlineLevel="1">
      <c r="A38" s="246"/>
      <c r="B38" s="159"/>
      <c r="C38" s="149"/>
      <c r="D38" s="151"/>
      <c r="E38" s="151"/>
      <c r="F38" s="151"/>
      <c r="G38" s="151"/>
      <c r="H38" s="151"/>
      <c r="I38" s="155"/>
      <c r="J38" s="155"/>
      <c r="K38" s="155"/>
      <c r="L38" s="155"/>
      <c r="M38" s="155"/>
      <c r="N38" s="254"/>
      <c r="P38" s="5"/>
    </row>
    <row r="39" spans="1:16" s="1" customFormat="1" ht="15" customHeight="1" outlineLevel="1">
      <c r="A39" s="246"/>
      <c r="B39" s="159"/>
      <c r="C39" s="149"/>
      <c r="D39" s="151"/>
      <c r="E39" s="151"/>
      <c r="F39" s="151"/>
      <c r="G39" s="151"/>
      <c r="H39" s="151"/>
      <c r="I39" s="155"/>
      <c r="J39" s="155"/>
      <c r="K39" s="155"/>
      <c r="L39" s="155"/>
      <c r="M39" s="155"/>
      <c r="N39" s="254"/>
      <c r="P39" s="5"/>
    </row>
    <row r="40" spans="1:16" s="10" customFormat="1" ht="15" customHeight="1" outlineLevel="1">
      <c r="A40" s="245"/>
      <c r="B40" s="166" t="s">
        <v>24</v>
      </c>
      <c r="C40" s="166"/>
      <c r="D40" s="161"/>
      <c r="E40" s="161"/>
      <c r="F40" s="179"/>
      <c r="G40" s="179"/>
      <c r="H40" s="179"/>
      <c r="I40" s="180"/>
      <c r="J40" s="180"/>
      <c r="K40" s="180"/>
      <c r="L40" s="161"/>
      <c r="M40" s="181"/>
      <c r="N40" s="255"/>
      <c r="P40" s="5"/>
    </row>
    <row r="41" spans="1:16" s="10" customFormat="1" ht="15" customHeight="1" outlineLevel="1">
      <c r="A41" s="245"/>
      <c r="B41" s="182" t="s">
        <v>13</v>
      </c>
      <c r="C41" s="182"/>
      <c r="D41" s="161"/>
      <c r="E41" s="161"/>
      <c r="F41" s="183">
        <v>10233.700000000001</v>
      </c>
      <c r="G41" s="183">
        <v>9540.8505999999979</v>
      </c>
      <c r="H41" s="183">
        <v>10091.448499999999</v>
      </c>
      <c r="I41" s="183">
        <v>12233.203306198007</v>
      </c>
      <c r="J41" s="183">
        <v>12268.202509926783</v>
      </c>
      <c r="K41" s="183">
        <v>12304.24853718857</v>
      </c>
      <c r="L41" s="183">
        <v>12255.467841361708</v>
      </c>
      <c r="M41" s="183">
        <v>12079.794070530703</v>
      </c>
      <c r="N41" s="255"/>
      <c r="P41" s="17"/>
    </row>
    <row r="42" spans="1:16" s="10" customFormat="1" ht="15" customHeight="1" outlineLevel="1">
      <c r="A42" s="245"/>
      <c r="B42" s="182" t="s">
        <v>11</v>
      </c>
      <c r="C42" s="182"/>
      <c r="D42" s="161"/>
      <c r="E42" s="161"/>
      <c r="F42" s="183">
        <v>2960</v>
      </c>
      <c r="G42" s="183">
        <v>3196</v>
      </c>
      <c r="H42" s="183">
        <v>3452</v>
      </c>
      <c r="I42" s="183">
        <v>4287.75</v>
      </c>
      <c r="J42" s="183">
        <v>4636.5</v>
      </c>
      <c r="K42" s="183">
        <v>4994.625</v>
      </c>
      <c r="L42" s="183">
        <v>5356.5</v>
      </c>
      <c r="M42" s="183">
        <v>5728.6875</v>
      </c>
      <c r="N42" s="255"/>
      <c r="O42" s="30"/>
      <c r="P42" s="17"/>
    </row>
    <row r="43" spans="1:16" s="10" customFormat="1" ht="15" customHeight="1" outlineLevel="1">
      <c r="A43" s="245"/>
      <c r="B43" s="184" t="s">
        <v>44</v>
      </c>
      <c r="C43" s="182"/>
      <c r="D43" s="161"/>
      <c r="E43" s="161"/>
      <c r="F43" s="183">
        <v>-600</v>
      </c>
      <c r="G43" s="183">
        <v>-625</v>
      </c>
      <c r="H43" s="183">
        <v>-291</v>
      </c>
      <c r="I43" s="183">
        <v>-339.42933000000085</v>
      </c>
      <c r="J43" s="183">
        <v>-139.96492953299821</v>
      </c>
      <c r="K43" s="183">
        <v>-142.77822461661435</v>
      </c>
      <c r="L43" s="183">
        <v>-109.05489588645014</v>
      </c>
      <c r="M43" s="183">
        <v>-73.736154484859071</v>
      </c>
      <c r="N43" s="255"/>
      <c r="P43" s="5"/>
    </row>
    <row r="44" spans="1:16" s="10" customFormat="1" ht="15" customHeight="1" outlineLevel="1">
      <c r="A44" s="245"/>
      <c r="B44" s="184" t="s">
        <v>45</v>
      </c>
      <c r="C44" s="182"/>
      <c r="D44" s="161"/>
      <c r="E44" s="161"/>
      <c r="F44" s="183">
        <v>-400</v>
      </c>
      <c r="G44" s="183">
        <v>-131</v>
      </c>
      <c r="H44" s="183">
        <v>-86</v>
      </c>
      <c r="I44" s="183">
        <v>152.08551199999988</v>
      </c>
      <c r="J44" s="183">
        <v>-37.323981208799523</v>
      </c>
      <c r="K44" s="183">
        <v>-38.074193231097297</v>
      </c>
      <c r="L44" s="183">
        <v>-29.081305569719916</v>
      </c>
      <c r="M44" s="183">
        <v>-19.66297452929598</v>
      </c>
      <c r="N44" s="255"/>
      <c r="P44" s="5"/>
    </row>
    <row r="45" spans="1:16" s="10" customFormat="1" ht="15" customHeight="1" outlineLevel="1">
      <c r="A45" s="245"/>
      <c r="B45" s="184" t="s">
        <v>46</v>
      </c>
      <c r="C45" s="182"/>
      <c r="D45" s="161"/>
      <c r="E45" s="161"/>
      <c r="F45" s="183">
        <v>-260</v>
      </c>
      <c r="G45" s="183">
        <v>181</v>
      </c>
      <c r="H45" s="183">
        <v>114</v>
      </c>
      <c r="I45" s="183">
        <v>-347.93681919999972</v>
      </c>
      <c r="J45" s="183">
        <v>59.718369934078964</v>
      </c>
      <c r="K45" s="183">
        <v>60.918709169755857</v>
      </c>
      <c r="L45" s="183">
        <v>46.530088911551957</v>
      </c>
      <c r="M45" s="183">
        <v>31.460759246873295</v>
      </c>
      <c r="N45" s="255"/>
      <c r="P45" s="5"/>
    </row>
    <row r="46" spans="1:16" s="10" customFormat="1" ht="15" customHeight="1" outlineLevel="1">
      <c r="A46" s="245"/>
      <c r="B46" s="182" t="s">
        <v>6</v>
      </c>
      <c r="C46" s="182"/>
      <c r="D46" s="161"/>
      <c r="E46" s="161"/>
      <c r="F46" s="27">
        <f t="shared" ref="F46:M46" si="8">SUM(F41:F45)</f>
        <v>11933.7</v>
      </c>
      <c r="G46" s="27">
        <f t="shared" si="8"/>
        <v>12161.850599999998</v>
      </c>
      <c r="H46" s="27">
        <f t="shared" si="8"/>
        <v>13280.448499999999</v>
      </c>
      <c r="I46" s="27">
        <f t="shared" si="8"/>
        <v>15985.672668998006</v>
      </c>
      <c r="J46" s="27">
        <f t="shared" si="8"/>
        <v>16787.131969119066</v>
      </c>
      <c r="K46" s="27">
        <f t="shared" si="8"/>
        <v>17178.939828510618</v>
      </c>
      <c r="L46" s="27">
        <f t="shared" si="8"/>
        <v>17520.361728817094</v>
      </c>
      <c r="M46" s="27">
        <f t="shared" si="8"/>
        <v>17746.543200763423</v>
      </c>
      <c r="N46" s="255"/>
      <c r="P46" s="17"/>
    </row>
    <row r="47" spans="1:16" s="10" customFormat="1" ht="15" customHeight="1" outlineLevel="1">
      <c r="A47" s="245"/>
      <c r="B47" s="163" t="s">
        <v>25</v>
      </c>
      <c r="C47" s="163"/>
      <c r="D47" s="161"/>
      <c r="E47" s="161"/>
      <c r="F47" s="405"/>
      <c r="G47" s="405"/>
      <c r="H47" s="405"/>
      <c r="I47" s="406"/>
      <c r="J47" s="406"/>
      <c r="K47" s="406"/>
      <c r="L47" s="406"/>
      <c r="M47" s="406"/>
      <c r="N47" s="255"/>
      <c r="P47" s="5"/>
    </row>
    <row r="48" spans="1:16" s="10" customFormat="1" ht="15" customHeight="1" outlineLevel="1">
      <c r="A48" s="245"/>
      <c r="B48" s="163"/>
      <c r="C48" s="163"/>
      <c r="D48" s="161"/>
      <c r="E48" s="161"/>
      <c r="F48" s="405"/>
      <c r="G48" s="405"/>
      <c r="H48" s="405"/>
      <c r="I48" s="406"/>
      <c r="J48" s="406"/>
      <c r="K48" s="406"/>
      <c r="L48" s="406"/>
      <c r="M48" s="406"/>
      <c r="N48" s="255"/>
      <c r="P48" s="5"/>
    </row>
    <row r="49" spans="1:16" s="10" customFormat="1" ht="15" customHeight="1" outlineLevel="1">
      <c r="A49" s="245"/>
      <c r="B49" s="166" t="s">
        <v>26</v>
      </c>
      <c r="C49" s="166"/>
      <c r="D49" s="161"/>
      <c r="E49" s="161"/>
      <c r="F49" s="405"/>
      <c r="G49" s="405"/>
      <c r="H49" s="405"/>
      <c r="I49" s="406"/>
      <c r="J49" s="406"/>
      <c r="K49" s="406"/>
      <c r="L49" s="406"/>
      <c r="M49" s="406"/>
      <c r="N49" s="255"/>
      <c r="P49" s="5"/>
    </row>
    <row r="50" spans="1:16" s="10" customFormat="1" ht="15" customHeight="1" outlineLevel="1">
      <c r="A50" s="245"/>
      <c r="B50" s="182" t="s">
        <v>16</v>
      </c>
      <c r="C50" s="182"/>
      <c r="D50" s="161"/>
      <c r="E50" s="161"/>
      <c r="F50" s="183">
        <v>-9014.9999999999927</v>
      </c>
      <c r="G50" s="183">
        <v>-11733.000000000005</v>
      </c>
      <c r="H50" s="183">
        <v>-2000</v>
      </c>
      <c r="I50" s="183">
        <v>-6900</v>
      </c>
      <c r="J50" s="183">
        <v>-7050</v>
      </c>
      <c r="K50" s="183">
        <v>-7275</v>
      </c>
      <c r="L50" s="183">
        <v>-7200</v>
      </c>
      <c r="M50" s="183">
        <v>-7687.5</v>
      </c>
      <c r="N50" s="255"/>
      <c r="O50" s="30"/>
      <c r="P50" s="5"/>
    </row>
    <row r="51" spans="1:16" s="10" customFormat="1" ht="15" customHeight="1" outlineLevel="1">
      <c r="A51" s="245"/>
      <c r="B51" s="182" t="s">
        <v>6</v>
      </c>
      <c r="C51" s="182"/>
      <c r="D51" s="161"/>
      <c r="E51" s="161"/>
      <c r="F51" s="27">
        <f t="shared" ref="F51:H51" si="9">SUM(F50)</f>
        <v>-9014.9999999999927</v>
      </c>
      <c r="G51" s="27">
        <f t="shared" si="9"/>
        <v>-11733.000000000005</v>
      </c>
      <c r="H51" s="27">
        <f t="shared" si="9"/>
        <v>-2000</v>
      </c>
      <c r="I51" s="27">
        <f>SUM(I50)</f>
        <v>-6900</v>
      </c>
      <c r="J51" s="27">
        <f t="shared" ref="J51:M51" si="10">SUM(J50)</f>
        <v>-7050</v>
      </c>
      <c r="K51" s="27">
        <f t="shared" si="10"/>
        <v>-7275</v>
      </c>
      <c r="L51" s="27">
        <f t="shared" si="10"/>
        <v>-7200</v>
      </c>
      <c r="M51" s="27">
        <f t="shared" si="10"/>
        <v>-7687.5</v>
      </c>
      <c r="N51" s="255"/>
      <c r="P51" s="17"/>
    </row>
    <row r="52" spans="1:16" s="10" customFormat="1" ht="15" customHeight="1" outlineLevel="1">
      <c r="A52" s="245"/>
      <c r="B52" s="163" t="s">
        <v>25</v>
      </c>
      <c r="C52" s="163"/>
      <c r="D52" s="161"/>
      <c r="E52" s="161"/>
      <c r="F52" s="183"/>
      <c r="G52" s="183"/>
      <c r="H52" s="183"/>
      <c r="I52" s="185"/>
      <c r="J52" s="185"/>
      <c r="K52" s="185"/>
      <c r="L52" s="185"/>
      <c r="M52" s="185"/>
      <c r="N52" s="255"/>
      <c r="P52" s="5"/>
    </row>
    <row r="53" spans="1:16" s="10" customFormat="1" ht="15" customHeight="1" outlineLevel="1">
      <c r="A53" s="245"/>
      <c r="B53" s="163"/>
      <c r="C53" s="163"/>
      <c r="D53" s="161"/>
      <c r="E53" s="161"/>
      <c r="F53" s="183"/>
      <c r="G53" s="183"/>
      <c r="H53" s="183"/>
      <c r="I53" s="185"/>
      <c r="J53" s="185"/>
      <c r="K53" s="185"/>
      <c r="L53" s="185"/>
      <c r="M53" s="185"/>
      <c r="N53" s="255"/>
      <c r="P53" s="5"/>
    </row>
    <row r="54" spans="1:16" s="10" customFormat="1" ht="15" customHeight="1" outlineLevel="1">
      <c r="A54" s="245"/>
      <c r="B54" s="166" t="s">
        <v>27</v>
      </c>
      <c r="C54" s="166"/>
      <c r="D54" s="161"/>
      <c r="E54" s="161"/>
      <c r="F54" s="183"/>
      <c r="G54" s="183"/>
      <c r="H54" s="183"/>
      <c r="I54" s="185"/>
      <c r="J54" s="185"/>
      <c r="K54" s="185"/>
      <c r="L54" s="185"/>
      <c r="M54" s="185"/>
      <c r="N54" s="255"/>
      <c r="P54" s="5"/>
    </row>
    <row r="55" spans="1:16" s="10" customFormat="1" ht="15" customHeight="1" outlineLevel="1">
      <c r="A55" s="245"/>
      <c r="B55" s="182" t="s">
        <v>28</v>
      </c>
      <c r="C55" s="182"/>
      <c r="D55" s="161"/>
      <c r="E55" s="161"/>
      <c r="F55" s="183">
        <v>0</v>
      </c>
      <c r="G55" s="183">
        <v>-4000</v>
      </c>
      <c r="H55" s="183">
        <v>-4000</v>
      </c>
      <c r="I55" s="183">
        <v>0</v>
      </c>
      <c r="J55" s="183">
        <v>0</v>
      </c>
      <c r="K55" s="183">
        <v>0</v>
      </c>
      <c r="L55" s="183">
        <v>0</v>
      </c>
      <c r="M55" s="183">
        <v>0</v>
      </c>
      <c r="N55" s="255"/>
      <c r="P55" s="5"/>
    </row>
    <row r="56" spans="1:16" s="10" customFormat="1" ht="15" customHeight="1" outlineLevel="1">
      <c r="A56" s="245"/>
      <c r="B56" s="182" t="s">
        <v>29</v>
      </c>
      <c r="C56" s="182"/>
      <c r="D56" s="161"/>
      <c r="E56" s="161"/>
      <c r="F56" s="183">
        <v>0</v>
      </c>
      <c r="G56" s="183">
        <v>0</v>
      </c>
      <c r="H56" s="183">
        <v>0</v>
      </c>
      <c r="I56" s="183">
        <v>-1000</v>
      </c>
      <c r="J56" s="183">
        <v>-1000</v>
      </c>
      <c r="K56" s="183">
        <v>-1000</v>
      </c>
      <c r="L56" s="183">
        <v>-1000</v>
      </c>
      <c r="M56" s="183">
        <v>-1000</v>
      </c>
      <c r="N56" s="255"/>
      <c r="O56" s="30"/>
      <c r="P56" s="5"/>
    </row>
    <row r="57" spans="1:16" s="10" customFormat="1" ht="15" customHeight="1" outlineLevel="1">
      <c r="A57" s="245"/>
      <c r="B57" s="182" t="s">
        <v>30</v>
      </c>
      <c r="C57" s="182"/>
      <c r="D57" s="161"/>
      <c r="E57" s="161"/>
      <c r="F57" s="183">
        <v>-3465</v>
      </c>
      <c r="G57" s="183">
        <v>-3761</v>
      </c>
      <c r="H57" s="183">
        <v>-3216</v>
      </c>
      <c r="I57" s="183">
        <v>-2446.6406612396017</v>
      </c>
      <c r="J57" s="183">
        <v>-2453.6405019853569</v>
      </c>
      <c r="K57" s="183">
        <v>-2460.8497074377142</v>
      </c>
      <c r="L57" s="183">
        <v>-2451.0935682723416</v>
      </c>
      <c r="M57" s="183">
        <v>-2415.9588141061408</v>
      </c>
      <c r="N57" s="255"/>
      <c r="P57" s="5"/>
    </row>
    <row r="58" spans="1:16" s="10" customFormat="1" ht="15" customHeight="1" outlineLevel="1">
      <c r="A58" s="245"/>
      <c r="B58" s="182" t="s">
        <v>55</v>
      </c>
      <c r="C58" s="182"/>
      <c r="D58" s="161"/>
      <c r="E58" s="161"/>
      <c r="F58" s="183">
        <v>0</v>
      </c>
      <c r="G58" s="183">
        <v>0</v>
      </c>
      <c r="H58" s="183">
        <v>0</v>
      </c>
      <c r="I58" s="183">
        <v>0</v>
      </c>
      <c r="J58" s="183">
        <v>0</v>
      </c>
      <c r="K58" s="183">
        <v>0</v>
      </c>
      <c r="L58" s="183">
        <v>0</v>
      </c>
      <c r="M58" s="183">
        <v>0</v>
      </c>
      <c r="N58" s="255"/>
      <c r="O58" s="30"/>
      <c r="P58" s="5"/>
    </row>
    <row r="59" spans="1:16" s="10" customFormat="1" ht="15" customHeight="1" outlineLevel="1">
      <c r="A59" s="245"/>
      <c r="B59" s="182" t="s">
        <v>6</v>
      </c>
      <c r="C59" s="182"/>
      <c r="D59" s="161"/>
      <c r="E59" s="161"/>
      <c r="F59" s="27">
        <f>SUM(F55:F58)</f>
        <v>-3465</v>
      </c>
      <c r="G59" s="27">
        <f t="shared" ref="G59:M59" si="11">SUM(G55:G58)</f>
        <v>-7761</v>
      </c>
      <c r="H59" s="27">
        <f t="shared" si="11"/>
        <v>-7216</v>
      </c>
      <c r="I59" s="27">
        <f t="shared" si="11"/>
        <v>-3446.6406612396017</v>
      </c>
      <c r="J59" s="27">
        <f t="shared" si="11"/>
        <v>-3453.6405019853569</v>
      </c>
      <c r="K59" s="27">
        <f t="shared" si="11"/>
        <v>-3460.8497074377142</v>
      </c>
      <c r="L59" s="27">
        <f t="shared" si="11"/>
        <v>-3451.0935682723416</v>
      </c>
      <c r="M59" s="27">
        <f t="shared" si="11"/>
        <v>-3415.9588141061408</v>
      </c>
      <c r="N59" s="255"/>
      <c r="P59" s="17"/>
    </row>
    <row r="60" spans="1:16" s="10" customFormat="1" ht="15" customHeight="1" outlineLevel="1">
      <c r="A60" s="245"/>
      <c r="B60" s="163" t="s">
        <v>25</v>
      </c>
      <c r="C60" s="163"/>
      <c r="D60" s="161"/>
      <c r="E60" s="161"/>
      <c r="F60" s="183"/>
      <c r="G60" s="183"/>
      <c r="H60" s="183"/>
      <c r="I60" s="186"/>
      <c r="J60" s="186"/>
      <c r="K60" s="185"/>
      <c r="L60" s="185"/>
      <c r="M60" s="185"/>
      <c r="N60" s="255"/>
      <c r="P60" s="5"/>
    </row>
    <row r="61" spans="1:16" s="10" customFormat="1" ht="15" customHeight="1" outlineLevel="1">
      <c r="A61" s="245"/>
      <c r="B61" s="163"/>
      <c r="C61" s="163"/>
      <c r="D61" s="161"/>
      <c r="E61" s="161"/>
      <c r="F61" s="183"/>
      <c r="G61" s="183"/>
      <c r="H61" s="183"/>
      <c r="I61" s="186"/>
      <c r="J61" s="186"/>
      <c r="K61" s="185"/>
      <c r="L61" s="185"/>
      <c r="M61" s="185"/>
      <c r="N61" s="255"/>
      <c r="P61" s="5"/>
    </row>
    <row r="62" spans="1:16" s="10" customFormat="1" ht="15" customHeight="1" outlineLevel="1">
      <c r="A62" s="245"/>
      <c r="B62" s="166" t="s">
        <v>57</v>
      </c>
      <c r="C62" s="166"/>
      <c r="D62" s="161"/>
      <c r="E62" s="161"/>
      <c r="F62" s="183"/>
      <c r="G62" s="183"/>
      <c r="H62" s="183"/>
      <c r="I62" s="185"/>
      <c r="J62" s="185"/>
      <c r="K62" s="185"/>
      <c r="L62" s="185"/>
      <c r="M62" s="185"/>
      <c r="N62" s="255"/>
      <c r="P62" s="5"/>
    </row>
    <row r="63" spans="1:16" s="10" customFormat="1" ht="15" customHeight="1" outlineLevel="1">
      <c r="A63" s="245"/>
      <c r="B63" s="182" t="s">
        <v>31</v>
      </c>
      <c r="C63" s="182"/>
      <c r="D63" s="161"/>
      <c r="E63" s="161"/>
      <c r="F63" s="183">
        <v>9671</v>
      </c>
      <c r="G63" s="175">
        <f>F65</f>
        <v>9124.700000000008</v>
      </c>
      <c r="H63" s="175">
        <f>G65</f>
        <v>1792.5506000000005</v>
      </c>
      <c r="I63" s="175">
        <f>H65</f>
        <v>5856.9990999999991</v>
      </c>
      <c r="J63" s="175">
        <f>I65</f>
        <v>11496.031107758403</v>
      </c>
      <c r="K63" s="175">
        <f>J65</f>
        <v>17779.522574892111</v>
      </c>
      <c r="L63" s="175">
        <f t="shared" ref="L63:M63" si="12">K65</f>
        <v>24222.612695965014</v>
      </c>
      <c r="M63" s="175">
        <f t="shared" si="12"/>
        <v>31091.880856509764</v>
      </c>
      <c r="N63" s="255"/>
      <c r="P63" s="17"/>
    </row>
    <row r="64" spans="1:16" s="10" customFormat="1" ht="15" customHeight="1" outlineLevel="1">
      <c r="A64" s="245"/>
      <c r="B64" s="182" t="s">
        <v>32</v>
      </c>
      <c r="C64" s="182"/>
      <c r="D64" s="161"/>
      <c r="E64" s="161"/>
      <c r="F64" s="175">
        <f t="shared" ref="F64:M64" si="13">F46+F51+F59</f>
        <v>-546.299999999992</v>
      </c>
      <c r="G64" s="175">
        <f t="shared" si="13"/>
        <v>-7332.1494000000075</v>
      </c>
      <c r="H64" s="175">
        <f t="shared" si="13"/>
        <v>4064.4484999999986</v>
      </c>
      <c r="I64" s="175">
        <f t="shared" si="13"/>
        <v>5639.0320077584038</v>
      </c>
      <c r="J64" s="175">
        <f t="shared" si="13"/>
        <v>6283.4914671337083</v>
      </c>
      <c r="K64" s="175">
        <f t="shared" si="13"/>
        <v>6443.0901210729044</v>
      </c>
      <c r="L64" s="175">
        <f t="shared" si="13"/>
        <v>6869.2681605447524</v>
      </c>
      <c r="M64" s="175">
        <f t="shared" si="13"/>
        <v>6643.0843866572814</v>
      </c>
      <c r="N64" s="255"/>
      <c r="P64" s="17"/>
    </row>
    <row r="65" spans="1:16" s="10" customFormat="1" ht="15" customHeight="1" outlineLevel="1" thickBot="1">
      <c r="A65" s="245"/>
      <c r="B65" s="182" t="s">
        <v>33</v>
      </c>
      <c r="C65" s="182"/>
      <c r="D65" s="161"/>
      <c r="E65" s="161"/>
      <c r="F65" s="22">
        <f>SUM(F63:F64)</f>
        <v>9124.700000000008</v>
      </c>
      <c r="G65" s="22">
        <f t="shared" ref="G65:M65" si="14">SUM(G63:G64)</f>
        <v>1792.5506000000005</v>
      </c>
      <c r="H65" s="22">
        <f t="shared" si="14"/>
        <v>5856.9990999999991</v>
      </c>
      <c r="I65" s="22">
        <f t="shared" si="14"/>
        <v>11496.031107758403</v>
      </c>
      <c r="J65" s="22">
        <f t="shared" si="14"/>
        <v>17779.522574892111</v>
      </c>
      <c r="K65" s="22">
        <f t="shared" si="14"/>
        <v>24222.612695965014</v>
      </c>
      <c r="L65" s="22">
        <f t="shared" si="14"/>
        <v>31091.880856509764</v>
      </c>
      <c r="M65" s="22">
        <f t="shared" si="14"/>
        <v>37734.965243167047</v>
      </c>
      <c r="N65" s="255"/>
      <c r="P65" s="17"/>
    </row>
    <row r="66" spans="1:16" s="10" customFormat="1" ht="15" customHeight="1" outlineLevel="1">
      <c r="A66" s="245"/>
      <c r="B66" s="148"/>
      <c r="C66" s="149"/>
      <c r="D66" s="151"/>
      <c r="E66" s="151"/>
      <c r="F66" s="181"/>
      <c r="G66" s="181"/>
      <c r="H66" s="181"/>
      <c r="I66" s="181"/>
      <c r="J66" s="181"/>
      <c r="K66" s="181"/>
      <c r="L66" s="181"/>
      <c r="M66" s="181"/>
      <c r="N66" s="255"/>
      <c r="P66" s="5"/>
    </row>
    <row r="67" spans="1:16" s="2" customFormat="1" ht="15" customHeight="1" outlineLevel="1">
      <c r="A67" s="245"/>
      <c r="B67" s="6"/>
      <c r="C67" s="6"/>
      <c r="D67" s="3"/>
      <c r="E67" s="3"/>
      <c r="F67" s="7"/>
      <c r="G67" s="7"/>
      <c r="H67" s="7"/>
      <c r="I67" s="7"/>
      <c r="J67" s="7"/>
      <c r="K67" s="7"/>
      <c r="L67" s="7"/>
      <c r="M67" s="7"/>
      <c r="N67" s="256"/>
    </row>
    <row r="68" spans="1:16" s="2" customFormat="1" ht="15" customHeight="1">
      <c r="A68" s="245"/>
      <c r="B68" s="148"/>
      <c r="C68" s="174"/>
      <c r="D68" s="150"/>
      <c r="E68" s="163"/>
      <c r="F68" s="175"/>
      <c r="G68" s="175"/>
      <c r="H68" s="175"/>
      <c r="I68" s="175"/>
      <c r="J68" s="175"/>
      <c r="K68" s="175"/>
      <c r="L68" s="175"/>
      <c r="M68" s="175"/>
      <c r="N68" s="253"/>
      <c r="O68" s="5"/>
    </row>
    <row r="69" spans="1:16" s="1" customFormat="1" ht="15" customHeight="1">
      <c r="A69" s="245" t="s">
        <v>21</v>
      </c>
      <c r="B69" s="176" t="s">
        <v>34</v>
      </c>
      <c r="C69" s="177"/>
      <c r="D69" s="177"/>
      <c r="E69" s="177"/>
      <c r="F69" s="178"/>
      <c r="G69" s="178"/>
      <c r="H69" s="178"/>
      <c r="I69" s="178"/>
      <c r="J69" s="178"/>
      <c r="K69" s="178"/>
      <c r="L69" s="178"/>
      <c r="M69" s="178"/>
      <c r="N69" s="254"/>
      <c r="P69" s="17"/>
    </row>
    <row r="70" spans="1:16" s="1" customFormat="1" ht="15" customHeight="1" outlineLevel="1">
      <c r="A70" s="246"/>
      <c r="B70" s="156"/>
      <c r="C70" s="149"/>
      <c r="D70" s="157"/>
      <c r="E70" s="157"/>
      <c r="F70" s="158"/>
      <c r="G70" s="158"/>
      <c r="H70" s="158"/>
      <c r="I70" s="158"/>
      <c r="J70" s="158"/>
      <c r="K70" s="158"/>
      <c r="L70" s="158"/>
      <c r="M70" s="158"/>
      <c r="N70" s="254"/>
    </row>
    <row r="71" spans="1:16" s="1" customFormat="1" ht="15" customHeight="1" outlineLevel="1" thickBot="1">
      <c r="A71" s="246"/>
      <c r="B71" s="159" t="s">
        <v>5</v>
      </c>
      <c r="C71" s="149"/>
      <c r="D71" s="151"/>
      <c r="E71" s="151"/>
      <c r="F71" s="24">
        <f>F$5</f>
        <v>2020</v>
      </c>
      <c r="G71" s="24">
        <f t="shared" ref="G71:M71" si="15">G$5</f>
        <v>2021</v>
      </c>
      <c r="H71" s="24">
        <f t="shared" si="15"/>
        <v>2022</v>
      </c>
      <c r="I71" s="25">
        <f t="shared" si="15"/>
        <v>2023</v>
      </c>
      <c r="J71" s="25">
        <f t="shared" si="15"/>
        <v>2024</v>
      </c>
      <c r="K71" s="25">
        <f t="shared" si="15"/>
        <v>2025</v>
      </c>
      <c r="L71" s="25">
        <f t="shared" si="15"/>
        <v>2026</v>
      </c>
      <c r="M71" s="25">
        <f t="shared" si="15"/>
        <v>2027</v>
      </c>
      <c r="N71" s="254"/>
    </row>
    <row r="72" spans="1:16" s="10" customFormat="1" ht="15" customHeight="1" outlineLevel="1">
      <c r="A72" s="245"/>
      <c r="B72" s="159"/>
      <c r="C72" s="149"/>
      <c r="D72" s="151"/>
      <c r="E72" s="151"/>
      <c r="F72" s="151"/>
      <c r="G72" s="151"/>
      <c r="H72" s="151"/>
      <c r="I72" s="160"/>
      <c r="J72" s="160"/>
      <c r="K72" s="160"/>
      <c r="L72" s="160"/>
      <c r="M72" s="160"/>
      <c r="N72" s="255"/>
      <c r="P72" s="5"/>
    </row>
    <row r="73" spans="1:16" s="10" customFormat="1" ht="15" customHeight="1" outlineLevel="1">
      <c r="A73" s="245"/>
      <c r="B73" s="159"/>
      <c r="C73" s="149"/>
      <c r="D73" s="151"/>
      <c r="E73" s="151"/>
      <c r="F73" s="151"/>
      <c r="G73" s="151"/>
      <c r="H73" s="151"/>
      <c r="I73" s="160"/>
      <c r="J73" s="160"/>
      <c r="K73" s="160"/>
      <c r="L73" s="160"/>
      <c r="M73" s="160"/>
      <c r="N73" s="255"/>
      <c r="P73" s="5"/>
    </row>
    <row r="74" spans="1:16" s="10" customFormat="1" ht="15" customHeight="1" outlineLevel="1">
      <c r="A74" s="245"/>
      <c r="B74" s="166" t="s">
        <v>49</v>
      </c>
      <c r="C74" s="166"/>
      <c r="D74" s="161"/>
      <c r="E74" s="161"/>
      <c r="F74" s="183"/>
      <c r="G74" s="183"/>
      <c r="H74" s="183"/>
      <c r="I74" s="185"/>
      <c r="J74" s="185"/>
      <c r="K74" s="185"/>
      <c r="L74" s="185"/>
      <c r="M74" s="185"/>
      <c r="N74" s="255"/>
      <c r="P74" s="5"/>
    </row>
    <row r="75" spans="1:16" s="10" customFormat="1" ht="15" customHeight="1" outlineLevel="1">
      <c r="A75" s="245"/>
      <c r="B75" s="166"/>
      <c r="C75" s="166"/>
      <c r="D75" s="161"/>
      <c r="E75" s="161"/>
      <c r="F75" s="183"/>
      <c r="G75" s="183"/>
      <c r="H75" s="183"/>
      <c r="I75" s="185"/>
      <c r="J75" s="185"/>
      <c r="K75" s="185"/>
      <c r="L75" s="185"/>
      <c r="M75" s="185"/>
      <c r="N75" s="255"/>
      <c r="P75" s="5"/>
    </row>
    <row r="76" spans="1:16" s="10" customFormat="1" ht="15" customHeight="1" outlineLevel="1">
      <c r="A76" s="245"/>
      <c r="B76" s="182" t="s">
        <v>35</v>
      </c>
      <c r="C76" s="182"/>
      <c r="D76" s="161"/>
      <c r="E76" s="161"/>
      <c r="F76" s="164">
        <v>9124.700000000008</v>
      </c>
      <c r="G76" s="164">
        <v>1792.5506000000005</v>
      </c>
      <c r="H76" s="164">
        <v>5856.9990999999991</v>
      </c>
      <c r="I76" s="164">
        <v>11496.031107758403</v>
      </c>
      <c r="J76" s="164">
        <v>17779.522574892111</v>
      </c>
      <c r="K76" s="164">
        <v>24222.612695965014</v>
      </c>
      <c r="L76" s="164">
        <v>31091.880856509764</v>
      </c>
      <c r="M76" s="164">
        <v>37734.965243167047</v>
      </c>
      <c r="N76" s="255"/>
      <c r="O76" s="30"/>
      <c r="P76" s="32"/>
    </row>
    <row r="77" spans="1:16" s="10" customFormat="1" ht="15" customHeight="1" outlineLevel="1">
      <c r="A77" s="245"/>
      <c r="B77" s="182" t="s">
        <v>3</v>
      </c>
      <c r="C77" s="182"/>
      <c r="D77" s="161"/>
      <c r="E77" s="161"/>
      <c r="F77" s="164">
        <v>5708</v>
      </c>
      <c r="G77" s="164">
        <v>6333</v>
      </c>
      <c r="H77" s="164">
        <v>6624</v>
      </c>
      <c r="I77" s="164">
        <v>6963.4293300000008</v>
      </c>
      <c r="J77" s="164">
        <v>7103.3942595329991</v>
      </c>
      <c r="K77" s="164">
        <v>7246.1724841496134</v>
      </c>
      <c r="L77" s="164">
        <v>7355.2273800360636</v>
      </c>
      <c r="M77" s="164">
        <v>7428.9635345209226</v>
      </c>
      <c r="N77" s="255"/>
      <c r="O77" s="30"/>
      <c r="P77" s="32"/>
    </row>
    <row r="78" spans="1:16" s="10" customFormat="1" ht="15" customHeight="1" outlineLevel="1">
      <c r="A78" s="245"/>
      <c r="B78" s="182" t="s">
        <v>36</v>
      </c>
      <c r="C78" s="182"/>
      <c r="D78" s="161"/>
      <c r="E78" s="161"/>
      <c r="F78" s="129">
        <v>1792</v>
      </c>
      <c r="G78" s="129">
        <v>1923</v>
      </c>
      <c r="H78" s="129">
        <v>2009</v>
      </c>
      <c r="I78" s="129">
        <v>1856.9144880000001</v>
      </c>
      <c r="J78" s="129">
        <v>1894.2384692087996</v>
      </c>
      <c r="K78" s="129">
        <v>1932.3126624398969</v>
      </c>
      <c r="L78" s="129">
        <v>1961.3939680096169</v>
      </c>
      <c r="M78" s="129">
        <v>1981.0569425389128</v>
      </c>
      <c r="N78" s="255"/>
      <c r="P78" s="32"/>
    </row>
    <row r="79" spans="1:16" s="10" customFormat="1" ht="15" customHeight="1" outlineLevel="1">
      <c r="A79" s="245"/>
      <c r="B79" s="182" t="s">
        <v>37</v>
      </c>
      <c r="C79" s="182"/>
      <c r="D79" s="161"/>
      <c r="E79" s="161"/>
      <c r="F79" s="187">
        <f t="shared" ref="F79:H79" si="16">SUM(F76:F78)</f>
        <v>16624.700000000008</v>
      </c>
      <c r="G79" s="187">
        <f t="shared" si="16"/>
        <v>10048.5506</v>
      </c>
      <c r="H79" s="187">
        <f t="shared" si="16"/>
        <v>14489.999099999999</v>
      </c>
      <c r="I79" s="187">
        <f>SUM(I76:I78)</f>
        <v>20316.374925758402</v>
      </c>
      <c r="J79" s="187">
        <f t="shared" ref="J79:M79" si="17">SUM(J76:J78)</f>
        <v>26777.155303633906</v>
      </c>
      <c r="K79" s="187">
        <f t="shared" si="17"/>
        <v>33401.097842554525</v>
      </c>
      <c r="L79" s="187">
        <f t="shared" si="17"/>
        <v>40408.502204555443</v>
      </c>
      <c r="M79" s="187">
        <f t="shared" si="17"/>
        <v>47144.985720226883</v>
      </c>
      <c r="N79" s="255"/>
      <c r="P79" s="32"/>
    </row>
    <row r="80" spans="1:16" s="10" customFormat="1" ht="15" customHeight="1" outlineLevel="1">
      <c r="A80" s="245"/>
      <c r="B80" s="188"/>
      <c r="C80" s="188"/>
      <c r="D80" s="161"/>
      <c r="E80" s="161"/>
      <c r="F80" s="189"/>
      <c r="G80" s="189"/>
      <c r="H80" s="189"/>
      <c r="I80" s="190"/>
      <c r="J80" s="190"/>
      <c r="K80" s="190"/>
      <c r="L80" s="190"/>
      <c r="M80" s="190"/>
      <c r="N80" s="255"/>
      <c r="P80" s="32"/>
    </row>
    <row r="81" spans="1:16" s="10" customFormat="1" ht="15" customHeight="1" outlineLevel="1">
      <c r="A81" s="245"/>
      <c r="B81" s="182" t="s">
        <v>19</v>
      </c>
      <c r="C81" s="182"/>
      <c r="D81" s="161"/>
      <c r="E81" s="161"/>
      <c r="F81" s="189">
        <v>58759</v>
      </c>
      <c r="G81" s="189">
        <v>67296</v>
      </c>
      <c r="H81" s="189">
        <v>65844</v>
      </c>
      <c r="I81" s="189">
        <v>68456.25</v>
      </c>
      <c r="J81" s="189">
        <v>70869.75</v>
      </c>
      <c r="K81" s="189">
        <v>73150.125</v>
      </c>
      <c r="L81" s="189">
        <v>74993.625</v>
      </c>
      <c r="M81" s="189">
        <v>76952.4375</v>
      </c>
      <c r="N81" s="255"/>
      <c r="O81" s="30"/>
      <c r="P81" s="32"/>
    </row>
    <row r="82" spans="1:16" s="10" customFormat="1" ht="15" customHeight="1" outlineLevel="1">
      <c r="A82" s="245"/>
      <c r="B82" s="182"/>
      <c r="C82" s="182"/>
      <c r="D82" s="186"/>
      <c r="E82" s="161"/>
      <c r="F82" s="189"/>
      <c r="G82" s="189"/>
      <c r="H82" s="189"/>
      <c r="I82" s="190"/>
      <c r="J82" s="190"/>
      <c r="K82" s="190"/>
      <c r="L82" s="190"/>
      <c r="M82" s="190"/>
      <c r="N82" s="255"/>
      <c r="P82" s="32"/>
    </row>
    <row r="83" spans="1:16" s="10" customFormat="1" ht="15" customHeight="1" outlineLevel="1">
      <c r="A83" s="245"/>
      <c r="B83" s="182"/>
      <c r="C83" s="182"/>
      <c r="D83" s="186"/>
      <c r="E83" s="161"/>
      <c r="F83" s="189"/>
      <c r="G83" s="189"/>
      <c r="H83" s="189"/>
      <c r="I83" s="190"/>
      <c r="J83" s="190"/>
      <c r="K83" s="190"/>
      <c r="L83" s="190"/>
      <c r="M83" s="190"/>
      <c r="N83" s="255"/>
      <c r="P83" s="32"/>
    </row>
    <row r="84" spans="1:16" s="10" customFormat="1" ht="15" customHeight="1" outlineLevel="1" thickBot="1">
      <c r="A84" s="245"/>
      <c r="B84" s="182" t="s">
        <v>53</v>
      </c>
      <c r="C84" s="188"/>
      <c r="D84" s="161"/>
      <c r="E84" s="161"/>
      <c r="F84" s="28">
        <f t="shared" ref="F84:H84" si="18">SUM(F79:F81)</f>
        <v>75383.700000000012</v>
      </c>
      <c r="G84" s="28">
        <f t="shared" si="18"/>
        <v>77344.550600000002</v>
      </c>
      <c r="H84" s="28">
        <f t="shared" si="18"/>
        <v>80333.999100000001</v>
      </c>
      <c r="I84" s="28">
        <f>SUM(I79:I81)</f>
        <v>88772.624925758399</v>
      </c>
      <c r="J84" s="28">
        <f t="shared" ref="J84:M84" si="19">SUM(J79:J81)</f>
        <v>97646.905303633903</v>
      </c>
      <c r="K84" s="28">
        <f t="shared" si="19"/>
        <v>106551.22284255453</v>
      </c>
      <c r="L84" s="28">
        <f t="shared" si="19"/>
        <v>115402.12720455544</v>
      </c>
      <c r="M84" s="28">
        <f t="shared" si="19"/>
        <v>124097.42322022689</v>
      </c>
      <c r="N84" s="255"/>
      <c r="P84" s="32"/>
    </row>
    <row r="85" spans="1:16" s="10" customFormat="1" ht="15" customHeight="1" outlineLevel="1">
      <c r="A85" s="245"/>
      <c r="B85" s="163"/>
      <c r="C85" s="163"/>
      <c r="D85" s="161"/>
      <c r="E85" s="161"/>
      <c r="F85" s="189"/>
      <c r="G85" s="189"/>
      <c r="H85" s="189"/>
      <c r="I85" s="190"/>
      <c r="J85" s="190"/>
      <c r="K85" s="190"/>
      <c r="L85" s="190"/>
      <c r="M85" s="190"/>
      <c r="N85" s="255"/>
      <c r="P85" s="32"/>
    </row>
    <row r="86" spans="1:16" s="10" customFormat="1" ht="15" customHeight="1" outlineLevel="1">
      <c r="A86" s="245"/>
      <c r="B86" s="166"/>
      <c r="C86" s="166"/>
      <c r="D86" s="161"/>
      <c r="E86" s="161"/>
      <c r="F86" s="189"/>
      <c r="G86" s="189"/>
      <c r="H86" s="189"/>
      <c r="I86" s="190"/>
      <c r="J86" s="190"/>
      <c r="K86" s="190"/>
      <c r="L86" s="190"/>
      <c r="M86" s="190"/>
      <c r="N86" s="255"/>
      <c r="P86" s="32"/>
    </row>
    <row r="87" spans="1:16" s="10" customFormat="1" ht="15" customHeight="1" outlineLevel="1">
      <c r="A87" s="245"/>
      <c r="B87" s="166" t="s">
        <v>50</v>
      </c>
      <c r="C87" s="166"/>
      <c r="D87" s="161"/>
      <c r="E87" s="161"/>
      <c r="F87" s="189"/>
      <c r="G87" s="189"/>
      <c r="H87" s="189"/>
      <c r="I87" s="190"/>
      <c r="J87" s="190"/>
      <c r="K87" s="190"/>
      <c r="L87" s="190"/>
      <c r="M87" s="190"/>
      <c r="N87" s="255"/>
      <c r="P87" s="32"/>
    </row>
    <row r="88" spans="1:16" s="10" customFormat="1" ht="15" customHeight="1" outlineLevel="1">
      <c r="A88" s="245"/>
      <c r="B88" s="166"/>
      <c r="C88" s="166"/>
      <c r="D88" s="161"/>
      <c r="E88" s="161"/>
      <c r="F88" s="189"/>
      <c r="G88" s="189"/>
      <c r="H88" s="189"/>
      <c r="I88" s="190"/>
      <c r="J88" s="190"/>
      <c r="K88" s="190"/>
      <c r="L88" s="190"/>
      <c r="M88" s="190"/>
      <c r="N88" s="255"/>
      <c r="P88" s="32"/>
    </row>
    <row r="89" spans="1:16" s="10" customFormat="1" ht="15" customHeight="1" outlineLevel="1">
      <c r="A89" s="245"/>
      <c r="B89" s="182" t="s">
        <v>4</v>
      </c>
      <c r="C89" s="182"/>
      <c r="D89" s="161"/>
      <c r="E89" s="161"/>
      <c r="F89" s="189">
        <v>3024</v>
      </c>
      <c r="G89" s="189">
        <v>3205</v>
      </c>
      <c r="H89" s="189">
        <v>3319</v>
      </c>
      <c r="I89" s="189">
        <v>2971.0631808000003</v>
      </c>
      <c r="J89" s="189">
        <v>3030.7815507340792</v>
      </c>
      <c r="K89" s="189">
        <v>3091.7002599038351</v>
      </c>
      <c r="L89" s="189">
        <v>3138.2303488153871</v>
      </c>
      <c r="M89" s="189">
        <v>3169.6911080622604</v>
      </c>
      <c r="N89" s="255"/>
      <c r="O89" s="30"/>
      <c r="P89" s="32"/>
    </row>
    <row r="90" spans="1:16" s="10" customFormat="1" ht="15" customHeight="1" outlineLevel="1">
      <c r="A90" s="245"/>
      <c r="B90" s="182" t="s">
        <v>54</v>
      </c>
      <c r="C90" s="182"/>
      <c r="D90" s="183"/>
      <c r="E90" s="161"/>
      <c r="F90" s="164">
        <v>0</v>
      </c>
      <c r="G90" s="164">
        <v>0</v>
      </c>
      <c r="H90" s="164">
        <v>0</v>
      </c>
      <c r="I90" s="164">
        <v>0</v>
      </c>
      <c r="J90" s="164">
        <v>0</v>
      </c>
      <c r="K90" s="164">
        <v>0</v>
      </c>
      <c r="L90" s="164">
        <v>0</v>
      </c>
      <c r="M90" s="164">
        <v>0</v>
      </c>
      <c r="N90" s="255"/>
      <c r="O90" s="30"/>
      <c r="P90" s="32"/>
    </row>
    <row r="91" spans="1:16" s="10" customFormat="1" ht="15" customHeight="1" outlineLevel="1">
      <c r="A91" s="245"/>
      <c r="B91" s="182" t="s">
        <v>47</v>
      </c>
      <c r="C91" s="182"/>
      <c r="D91" s="161"/>
      <c r="E91" s="161"/>
      <c r="F91" s="29">
        <f t="shared" ref="F91:M91" si="20">SUM(F89:F90)</f>
        <v>3024</v>
      </c>
      <c r="G91" s="29">
        <f t="shared" si="20"/>
        <v>3205</v>
      </c>
      <c r="H91" s="29">
        <f t="shared" si="20"/>
        <v>3319</v>
      </c>
      <c r="I91" s="29">
        <f t="shared" si="20"/>
        <v>2971.0631808000003</v>
      </c>
      <c r="J91" s="29">
        <f t="shared" si="20"/>
        <v>3030.7815507340792</v>
      </c>
      <c r="K91" s="29">
        <f t="shared" si="20"/>
        <v>3091.7002599038351</v>
      </c>
      <c r="L91" s="29">
        <f t="shared" si="20"/>
        <v>3138.2303488153871</v>
      </c>
      <c r="M91" s="29">
        <f t="shared" si="20"/>
        <v>3169.6911080622604</v>
      </c>
      <c r="N91" s="255"/>
      <c r="O91" s="30"/>
      <c r="P91" s="32"/>
    </row>
    <row r="92" spans="1:16" s="10" customFormat="1" ht="15" customHeight="1" outlineLevel="1">
      <c r="A92" s="245"/>
      <c r="B92" s="188"/>
      <c r="C92" s="188"/>
      <c r="D92" s="161"/>
      <c r="E92" s="161"/>
      <c r="F92" s="189"/>
      <c r="G92" s="189"/>
      <c r="H92" s="189"/>
      <c r="I92" s="190"/>
      <c r="J92" s="190"/>
      <c r="K92" s="190"/>
      <c r="L92" s="190"/>
      <c r="M92" s="190"/>
      <c r="N92" s="255"/>
      <c r="P92" s="32"/>
    </row>
    <row r="93" spans="1:16" s="10" customFormat="1" ht="15" customHeight="1" outlineLevel="1">
      <c r="A93" s="245"/>
      <c r="B93" s="182" t="s">
        <v>38</v>
      </c>
      <c r="C93" s="182"/>
      <c r="D93" s="161"/>
      <c r="E93" s="161"/>
      <c r="F93" s="189">
        <v>28000</v>
      </c>
      <c r="G93" s="189">
        <v>24000</v>
      </c>
      <c r="H93" s="189">
        <v>20000</v>
      </c>
      <c r="I93" s="189">
        <v>20000</v>
      </c>
      <c r="J93" s="189">
        <v>20000</v>
      </c>
      <c r="K93" s="189">
        <v>20000</v>
      </c>
      <c r="L93" s="189">
        <v>20000</v>
      </c>
      <c r="M93" s="189">
        <v>20000</v>
      </c>
      <c r="N93" s="255"/>
      <c r="P93" s="32"/>
    </row>
    <row r="94" spans="1:16" s="10" customFormat="1" ht="15" customHeight="1" outlineLevel="1">
      <c r="A94" s="245"/>
      <c r="B94" s="182" t="s">
        <v>48</v>
      </c>
      <c r="C94" s="182"/>
      <c r="D94" s="161"/>
      <c r="E94" s="161"/>
      <c r="F94" s="29">
        <f t="shared" ref="F94:M94" si="21">SUM(F91:F93)</f>
        <v>31024</v>
      </c>
      <c r="G94" s="29">
        <f t="shared" si="21"/>
        <v>27205</v>
      </c>
      <c r="H94" s="29">
        <f t="shared" si="21"/>
        <v>23319</v>
      </c>
      <c r="I94" s="29">
        <f t="shared" si="21"/>
        <v>22971.0631808</v>
      </c>
      <c r="J94" s="29">
        <f t="shared" si="21"/>
        <v>23030.781550734078</v>
      </c>
      <c r="K94" s="29">
        <f t="shared" si="21"/>
        <v>23091.700259903835</v>
      </c>
      <c r="L94" s="29">
        <f t="shared" si="21"/>
        <v>23138.230348815388</v>
      </c>
      <c r="M94" s="29">
        <f t="shared" si="21"/>
        <v>23169.691108062259</v>
      </c>
      <c r="N94" s="255"/>
      <c r="P94" s="32"/>
    </row>
    <row r="95" spans="1:16" s="10" customFormat="1" ht="15" customHeight="1" outlineLevel="1">
      <c r="A95" s="245"/>
      <c r="B95" s="188"/>
      <c r="C95" s="188"/>
      <c r="D95" s="161"/>
      <c r="E95" s="161"/>
      <c r="F95" s="189"/>
      <c r="G95" s="189"/>
      <c r="H95" s="189"/>
      <c r="I95" s="190"/>
      <c r="J95" s="190"/>
      <c r="K95" s="190"/>
      <c r="L95" s="190"/>
      <c r="M95" s="190"/>
      <c r="N95" s="255"/>
      <c r="P95" s="32"/>
    </row>
    <row r="96" spans="1:16" s="10" customFormat="1" ht="15" customHeight="1" outlineLevel="1">
      <c r="A96" s="245"/>
      <c r="B96" s="188"/>
      <c r="C96" s="188"/>
      <c r="D96" s="161"/>
      <c r="E96" s="161"/>
      <c r="F96" s="189"/>
      <c r="G96" s="189"/>
      <c r="H96" s="189"/>
      <c r="I96" s="190"/>
      <c r="J96" s="190"/>
      <c r="K96" s="190"/>
      <c r="L96" s="190"/>
      <c r="M96" s="190"/>
      <c r="N96" s="255"/>
      <c r="P96" s="32"/>
    </row>
    <row r="97" spans="1:16" s="10" customFormat="1" ht="15" customHeight="1" outlineLevel="1">
      <c r="A97" s="245"/>
      <c r="B97" s="166" t="s">
        <v>51</v>
      </c>
      <c r="C97" s="166"/>
      <c r="D97" s="161"/>
      <c r="E97" s="161"/>
      <c r="F97" s="189"/>
      <c r="G97" s="189"/>
      <c r="H97" s="189"/>
      <c r="I97" s="190"/>
      <c r="J97" s="190"/>
      <c r="K97" s="190"/>
      <c r="L97" s="190"/>
      <c r="M97" s="190"/>
      <c r="N97" s="255"/>
      <c r="P97" s="32"/>
    </row>
    <row r="98" spans="1:16" s="10" customFormat="1" ht="15" customHeight="1" outlineLevel="1">
      <c r="A98" s="245"/>
      <c r="B98" s="166"/>
      <c r="C98" s="166"/>
      <c r="D98" s="161"/>
      <c r="E98" s="161"/>
      <c r="F98" s="189"/>
      <c r="G98" s="189"/>
      <c r="H98" s="189"/>
      <c r="I98" s="190"/>
      <c r="J98" s="190"/>
      <c r="K98" s="190"/>
      <c r="L98" s="190"/>
      <c r="M98" s="190"/>
      <c r="N98" s="255"/>
      <c r="P98" s="32"/>
    </row>
    <row r="99" spans="1:16" s="10" customFormat="1" ht="15" customHeight="1" outlineLevel="1">
      <c r="A99" s="245"/>
      <c r="B99" s="182" t="s">
        <v>39</v>
      </c>
      <c r="C99" s="182"/>
      <c r="D99" s="161"/>
      <c r="E99" s="161"/>
      <c r="F99" s="189">
        <v>38669.700000000084</v>
      </c>
      <c r="G99" s="189">
        <v>38669.700000000084</v>
      </c>
      <c r="H99" s="189">
        <v>38669.700000000084</v>
      </c>
      <c r="I99" s="189">
        <v>37669.700000000084</v>
      </c>
      <c r="J99" s="189">
        <v>36669.700000000084</v>
      </c>
      <c r="K99" s="189">
        <v>35669.700000000084</v>
      </c>
      <c r="L99" s="189">
        <v>34669.700000000084</v>
      </c>
      <c r="M99" s="189">
        <v>33669.700000000084</v>
      </c>
      <c r="N99" s="255"/>
      <c r="O99" s="31"/>
      <c r="P99" s="32"/>
    </row>
    <row r="100" spans="1:16" s="10" customFormat="1" ht="15" customHeight="1" outlineLevel="1">
      <c r="A100" s="245"/>
      <c r="B100" s="182" t="s">
        <v>40</v>
      </c>
      <c r="C100" s="182"/>
      <c r="D100" s="161"/>
      <c r="E100" s="161"/>
      <c r="F100" s="189">
        <v>5690</v>
      </c>
      <c r="G100" s="189">
        <v>11469.850599999998</v>
      </c>
      <c r="H100" s="189">
        <v>18345.299099999997</v>
      </c>
      <c r="I100" s="189">
        <v>28131.861744958402</v>
      </c>
      <c r="J100" s="189">
        <v>37946.423752899827</v>
      </c>
      <c r="K100" s="189">
        <v>47789.822582650682</v>
      </c>
      <c r="L100" s="189">
        <v>57594.196855740047</v>
      </c>
      <c r="M100" s="189">
        <v>67258.032112164612</v>
      </c>
      <c r="N100" s="255"/>
      <c r="O100" s="31"/>
      <c r="P100" s="32"/>
    </row>
    <row r="101" spans="1:16" s="10" customFormat="1" ht="15" customHeight="1" outlineLevel="1">
      <c r="A101" s="245"/>
      <c r="B101" s="182" t="s">
        <v>41</v>
      </c>
      <c r="C101" s="182"/>
      <c r="D101" s="161"/>
      <c r="E101" s="161"/>
      <c r="F101" s="29">
        <f t="shared" ref="F101:H101" si="22">SUM(F99:F100)</f>
        <v>44359.700000000084</v>
      </c>
      <c r="G101" s="29">
        <f t="shared" si="22"/>
        <v>50139.550600000082</v>
      </c>
      <c r="H101" s="29">
        <f t="shared" si="22"/>
        <v>57014.999100000081</v>
      </c>
      <c r="I101" s="29">
        <f>SUM(I99:I100)</f>
        <v>65801.561744958482</v>
      </c>
      <c r="J101" s="29">
        <f t="shared" ref="J101:M101" si="23">SUM(J99:J100)</f>
        <v>74616.123752899905</v>
      </c>
      <c r="K101" s="29">
        <f t="shared" si="23"/>
        <v>83459.522582650767</v>
      </c>
      <c r="L101" s="29">
        <f t="shared" si="23"/>
        <v>92263.896855740139</v>
      </c>
      <c r="M101" s="29">
        <f t="shared" si="23"/>
        <v>100927.7321121647</v>
      </c>
      <c r="N101" s="255"/>
      <c r="P101" s="32"/>
    </row>
    <row r="102" spans="1:16" s="10" customFormat="1" ht="15" customHeight="1" outlineLevel="1">
      <c r="A102" s="245"/>
      <c r="B102" s="188"/>
      <c r="C102" s="188"/>
      <c r="D102" s="161"/>
      <c r="E102" s="161"/>
      <c r="F102" s="191"/>
      <c r="G102" s="191"/>
      <c r="H102" s="191"/>
      <c r="I102" s="173"/>
      <c r="J102" s="173"/>
      <c r="K102" s="173"/>
      <c r="L102" s="173"/>
      <c r="M102" s="173"/>
      <c r="N102" s="255"/>
      <c r="P102" s="5"/>
    </row>
    <row r="103" spans="1:16" s="10" customFormat="1" ht="15" customHeight="1" outlineLevel="1">
      <c r="A103" s="245"/>
      <c r="B103" s="188"/>
      <c r="C103" s="188"/>
      <c r="D103" s="161"/>
      <c r="E103" s="161"/>
      <c r="F103" s="191"/>
      <c r="G103" s="191"/>
      <c r="H103" s="191"/>
      <c r="I103" s="173"/>
      <c r="J103" s="173"/>
      <c r="K103" s="173"/>
      <c r="L103" s="173"/>
      <c r="M103" s="173"/>
      <c r="N103" s="255"/>
      <c r="P103" s="5"/>
    </row>
    <row r="104" spans="1:16" s="10" customFormat="1" ht="15" customHeight="1" outlineLevel="1" thickBot="1">
      <c r="A104" s="245"/>
      <c r="B104" s="182" t="s">
        <v>52</v>
      </c>
      <c r="C104" s="188"/>
      <c r="D104" s="161"/>
      <c r="E104" s="161"/>
      <c r="F104" s="28">
        <f t="shared" ref="F104:M104" si="24">F101+F94</f>
        <v>75383.700000000084</v>
      </c>
      <c r="G104" s="28">
        <f t="shared" si="24"/>
        <v>77344.550600000075</v>
      </c>
      <c r="H104" s="28">
        <f t="shared" si="24"/>
        <v>80333.999100000074</v>
      </c>
      <c r="I104" s="28">
        <f t="shared" si="24"/>
        <v>88772.624925758486</v>
      </c>
      <c r="J104" s="28">
        <f t="shared" si="24"/>
        <v>97646.905303633976</v>
      </c>
      <c r="K104" s="28">
        <f t="shared" si="24"/>
        <v>106551.22284255461</v>
      </c>
      <c r="L104" s="28">
        <f t="shared" si="24"/>
        <v>115402.12720455552</v>
      </c>
      <c r="M104" s="28">
        <f t="shared" si="24"/>
        <v>124097.42322022695</v>
      </c>
      <c r="N104" s="255"/>
      <c r="P104" s="17"/>
    </row>
    <row r="105" spans="1:16" s="10" customFormat="1" ht="15" customHeight="1" outlineLevel="1">
      <c r="A105" s="245"/>
      <c r="B105" s="163"/>
      <c r="C105" s="163"/>
      <c r="D105" s="161"/>
      <c r="E105" s="161"/>
      <c r="F105" s="190"/>
      <c r="G105" s="190"/>
      <c r="H105" s="190"/>
      <c r="I105" s="185"/>
      <c r="J105" s="185"/>
      <c r="K105" s="185"/>
      <c r="L105" s="185"/>
      <c r="M105" s="185"/>
      <c r="N105" s="255"/>
      <c r="P105" s="5"/>
    </row>
    <row r="106" spans="1:16" s="10" customFormat="1" ht="15" customHeight="1" outlineLevel="1">
      <c r="A106" s="245"/>
      <c r="B106" s="163"/>
      <c r="C106" s="163"/>
      <c r="D106" s="161"/>
      <c r="E106" s="161"/>
      <c r="F106" s="190"/>
      <c r="G106" s="190"/>
      <c r="H106" s="190"/>
      <c r="I106" s="185"/>
      <c r="J106" s="185"/>
      <c r="K106" s="185"/>
      <c r="L106" s="185"/>
      <c r="M106" s="185"/>
      <c r="N106" s="255"/>
    </row>
    <row r="107" spans="1:16" s="10" customFormat="1" ht="15" customHeight="1" outlineLevel="1">
      <c r="A107" s="245"/>
      <c r="B107" s="192" t="s">
        <v>42</v>
      </c>
      <c r="C107" s="192"/>
      <c r="D107" s="161"/>
      <c r="E107" s="161"/>
      <c r="F107" s="20">
        <f t="shared" ref="F107:M107" si="25">ROUND(F104-F84,0)</f>
        <v>0</v>
      </c>
      <c r="G107" s="20">
        <f t="shared" si="25"/>
        <v>0</v>
      </c>
      <c r="H107" s="20">
        <f t="shared" si="25"/>
        <v>0</v>
      </c>
      <c r="I107" s="20">
        <f t="shared" si="25"/>
        <v>0</v>
      </c>
      <c r="J107" s="20">
        <f t="shared" si="25"/>
        <v>0</v>
      </c>
      <c r="K107" s="20">
        <f t="shared" si="25"/>
        <v>0</v>
      </c>
      <c r="L107" s="20">
        <f t="shared" si="25"/>
        <v>0</v>
      </c>
      <c r="M107" s="20">
        <f t="shared" si="25"/>
        <v>0</v>
      </c>
      <c r="N107" s="255"/>
      <c r="P107" s="17"/>
    </row>
    <row r="108" spans="1:16" s="10" customFormat="1" ht="15" customHeight="1" outlineLevel="1">
      <c r="A108" s="245"/>
      <c r="B108" s="159"/>
      <c r="C108" s="149"/>
      <c r="D108" s="151"/>
      <c r="E108" s="151"/>
      <c r="F108" s="151"/>
      <c r="G108" s="151"/>
      <c r="H108" s="151"/>
      <c r="I108" s="160"/>
      <c r="J108" s="160"/>
      <c r="K108" s="160"/>
      <c r="L108" s="160"/>
      <c r="M108" s="160"/>
      <c r="N108" s="255"/>
      <c r="P108" s="5"/>
    </row>
    <row r="109" spans="1:16" s="2" customFormat="1" ht="15" customHeight="1" outlineLevel="1">
      <c r="A109" s="245"/>
      <c r="B109" s="6"/>
      <c r="C109" s="6"/>
      <c r="D109" s="3"/>
      <c r="E109" s="3"/>
      <c r="F109" s="7"/>
      <c r="G109" s="7"/>
      <c r="H109" s="7"/>
      <c r="I109" s="7"/>
      <c r="J109" s="7"/>
      <c r="K109" s="7"/>
      <c r="L109" s="7"/>
      <c r="M109" s="7"/>
      <c r="N109" s="256"/>
    </row>
    <row r="110" spans="1:16" s="10" customFormat="1" ht="15" customHeight="1">
      <c r="A110" s="247"/>
      <c r="B110" s="161"/>
      <c r="C110" s="161"/>
      <c r="D110" s="161"/>
      <c r="E110" s="161"/>
      <c r="F110" s="161"/>
      <c r="G110" s="161"/>
      <c r="H110" s="161"/>
      <c r="I110" s="161"/>
      <c r="J110" s="161"/>
      <c r="K110" s="161"/>
      <c r="L110" s="161"/>
      <c r="M110" s="161"/>
      <c r="N110" s="255"/>
    </row>
    <row r="111" spans="1:16" s="10" customFormat="1" ht="15" customHeight="1">
      <c r="A111" s="248" t="s">
        <v>204</v>
      </c>
      <c r="B111" s="407" t="s">
        <v>142</v>
      </c>
      <c r="C111" s="407"/>
      <c r="D111" s="407"/>
      <c r="E111" s="407"/>
      <c r="F111" s="409"/>
      <c r="G111" s="409"/>
      <c r="H111" s="409"/>
      <c r="I111" s="410"/>
      <c r="J111" s="411"/>
      <c r="K111" s="411"/>
      <c r="L111" s="411"/>
      <c r="M111" s="411"/>
      <c r="N111" s="412"/>
    </row>
    <row r="112" spans="1:16" s="10" customFormat="1" ht="15" customHeight="1" outlineLevel="1">
      <c r="A112" s="247"/>
      <c r="B112" s="193"/>
      <c r="C112" s="161"/>
      <c r="D112" s="161"/>
      <c r="E112" s="161"/>
      <c r="F112" s="161"/>
      <c r="G112" s="161"/>
      <c r="H112" s="194"/>
      <c r="I112" s="195"/>
      <c r="J112" s="195"/>
      <c r="K112" s="195"/>
      <c r="L112" s="195"/>
      <c r="M112" s="195"/>
      <c r="N112" s="255"/>
    </row>
    <row r="113" spans="1:15" s="10" customFormat="1" ht="15" customHeight="1" outlineLevel="1">
      <c r="A113" s="247"/>
      <c r="B113" s="159" t="s">
        <v>5</v>
      </c>
      <c r="C113" s="161"/>
      <c r="D113" s="161"/>
      <c r="E113" s="161"/>
      <c r="F113" s="161"/>
      <c r="G113" s="161"/>
      <c r="H113" s="194"/>
      <c r="I113" s="195"/>
      <c r="J113" s="195"/>
      <c r="K113" s="195"/>
      <c r="L113" s="195"/>
      <c r="M113" s="195"/>
      <c r="N113" s="255"/>
      <c r="O113"/>
    </row>
    <row r="114" spans="1:15" s="10" customFormat="1" ht="15" customHeight="1" outlineLevel="1" thickBot="1">
      <c r="A114" s="247"/>
      <c r="B114" s="161"/>
      <c r="C114" s="161"/>
      <c r="D114" s="161"/>
      <c r="E114" s="161"/>
      <c r="F114" s="161"/>
      <c r="G114" s="161"/>
      <c r="H114" s="205">
        <f t="shared" ref="H114:M114" si="26">H$5</f>
        <v>2022</v>
      </c>
      <c r="I114" s="416">
        <f t="shared" si="26"/>
        <v>2023</v>
      </c>
      <c r="J114" s="416">
        <f t="shared" si="26"/>
        <v>2024</v>
      </c>
      <c r="K114" s="416">
        <f t="shared" si="26"/>
        <v>2025</v>
      </c>
      <c r="L114" s="416">
        <f t="shared" si="26"/>
        <v>2026</v>
      </c>
      <c r="M114" s="416">
        <f t="shared" si="26"/>
        <v>2027</v>
      </c>
      <c r="N114" s="255"/>
      <c r="O114"/>
    </row>
    <row r="115" spans="1:15" s="54" customFormat="1" ht="15" customHeight="1" outlineLevel="1">
      <c r="A115" s="249"/>
      <c r="B115" s="197" t="s">
        <v>78</v>
      </c>
      <c r="C115" s="196"/>
      <c r="D115" s="196"/>
      <c r="E115" s="196"/>
      <c r="F115" s="196"/>
      <c r="G115" s="196"/>
      <c r="H115" s="417"/>
      <c r="I115" s="196"/>
      <c r="J115" s="199"/>
      <c r="K115" s="199"/>
      <c r="L115" s="199"/>
      <c r="M115" s="199"/>
      <c r="N115" s="257"/>
    </row>
    <row r="116" spans="1:15" s="54" customFormat="1" ht="15" customHeight="1" outlineLevel="1">
      <c r="A116" s="249"/>
      <c r="B116" s="200" t="s">
        <v>13</v>
      </c>
      <c r="C116" s="196"/>
      <c r="D116" s="196"/>
      <c r="E116" s="196"/>
      <c r="F116" s="196"/>
      <c r="G116" s="196"/>
      <c r="H116" s="201">
        <f>H$30</f>
        <v>11148.448499999999</v>
      </c>
      <c r="I116" s="201">
        <f>I$30</f>
        <v>12233.203306198007</v>
      </c>
      <c r="J116" s="201">
        <f t="shared" ref="J116:M116" si="27">J$30</f>
        <v>12268.202509926783</v>
      </c>
      <c r="K116" s="201">
        <f t="shared" si="27"/>
        <v>12304.24853718857</v>
      </c>
      <c r="L116" s="201">
        <f t="shared" si="27"/>
        <v>12255.467841361708</v>
      </c>
      <c r="M116" s="201">
        <f t="shared" si="27"/>
        <v>12079.794070530703</v>
      </c>
      <c r="N116" s="257"/>
    </row>
    <row r="117" spans="1:15" s="54" customFormat="1" ht="15" customHeight="1" outlineLevel="1">
      <c r="A117" s="249"/>
      <c r="B117" s="200" t="s">
        <v>11</v>
      </c>
      <c r="C117" s="196"/>
      <c r="D117" s="196"/>
      <c r="E117" s="196"/>
      <c r="F117" s="196"/>
      <c r="G117" s="196"/>
      <c r="H117" s="201">
        <f>-H$18</f>
        <v>3452</v>
      </c>
      <c r="I117" s="201">
        <f>-I$18</f>
        <v>4287.75</v>
      </c>
      <c r="J117" s="201">
        <f t="shared" ref="J117:M117" si="28">-J$18</f>
        <v>4636.5</v>
      </c>
      <c r="K117" s="201">
        <f t="shared" si="28"/>
        <v>4994.625</v>
      </c>
      <c r="L117" s="201">
        <f t="shared" si="28"/>
        <v>5356.5</v>
      </c>
      <c r="M117" s="201">
        <f t="shared" si="28"/>
        <v>5728.6875</v>
      </c>
      <c r="N117" s="257"/>
    </row>
    <row r="118" spans="1:15" s="54" customFormat="1" ht="15" customHeight="1" outlineLevel="1">
      <c r="A118" s="249"/>
      <c r="B118" s="202" t="s">
        <v>191</v>
      </c>
      <c r="C118" s="196"/>
      <c r="D118" s="196"/>
      <c r="E118" s="196"/>
      <c r="F118" s="196"/>
      <c r="G118" s="196"/>
      <c r="H118" s="201">
        <f t="shared" ref="H118:M118" si="29">-SUM(H22:H23)</f>
        <v>2157</v>
      </c>
      <c r="I118" s="201">
        <f t="shared" si="29"/>
        <v>1141.4300089999999</v>
      </c>
      <c r="J118" s="201">
        <f t="shared" si="29"/>
        <v>1085.039688922416</v>
      </c>
      <c r="K118" s="201">
        <f t="shared" si="29"/>
        <v>1022.2047742510789</v>
      </c>
      <c r="L118" s="201">
        <f t="shared" si="29"/>
        <v>957.77387304034983</v>
      </c>
      <c r="M118" s="201">
        <f t="shared" si="29"/>
        <v>889.08119143490239</v>
      </c>
      <c r="N118" s="257"/>
      <c r="O118"/>
    </row>
    <row r="119" spans="1:15" s="54" customFormat="1" ht="15" customHeight="1" outlineLevel="1">
      <c r="A119" s="249"/>
      <c r="B119" s="200" t="s">
        <v>15</v>
      </c>
      <c r="C119" s="196"/>
      <c r="D119" s="196"/>
      <c r="E119" s="196"/>
      <c r="F119" s="203"/>
      <c r="G119" s="203"/>
      <c r="H119" s="203">
        <f>-H27/H24</f>
        <v>0.215033344426491</v>
      </c>
      <c r="I119" s="203">
        <f t="shared" ref="I119:M119" si="30">-I27/I24</f>
        <v>0.21</v>
      </c>
      <c r="J119" s="203">
        <f t="shared" si="30"/>
        <v>0.21</v>
      </c>
      <c r="K119" s="203">
        <f t="shared" si="30"/>
        <v>0.21</v>
      </c>
      <c r="L119" s="203">
        <f t="shared" si="30"/>
        <v>0.21</v>
      </c>
      <c r="M119" s="203">
        <f t="shared" si="30"/>
        <v>0.21</v>
      </c>
      <c r="N119" s="257"/>
    </row>
    <row r="120" spans="1:15" s="54" customFormat="1" ht="15" customHeight="1" outlineLevel="1">
      <c r="A120" s="249"/>
      <c r="B120" s="200" t="s">
        <v>141</v>
      </c>
      <c r="C120" s="196"/>
      <c r="D120" s="196"/>
      <c r="E120" s="196"/>
      <c r="F120" s="196"/>
      <c r="G120" s="196"/>
      <c r="H120" s="201">
        <f>H118*(1-H119)</f>
        <v>1693.1730760720588</v>
      </c>
      <c r="I120" s="201">
        <f t="shared" ref="I120:M120" si="31">I118*(1-I119)</f>
        <v>901.72970710999994</v>
      </c>
      <c r="J120" s="201">
        <f t="shared" si="31"/>
        <v>857.18135424870866</v>
      </c>
      <c r="K120" s="201">
        <f t="shared" si="31"/>
        <v>807.54177165835233</v>
      </c>
      <c r="L120" s="201">
        <f t="shared" si="31"/>
        <v>756.64135970187635</v>
      </c>
      <c r="M120" s="201">
        <f t="shared" si="31"/>
        <v>702.37414123357291</v>
      </c>
      <c r="N120" s="257"/>
    </row>
    <row r="121" spans="1:15" s="54" customFormat="1" ht="15" customHeight="1" outlineLevel="1">
      <c r="A121" s="249"/>
      <c r="B121" s="200" t="s">
        <v>12</v>
      </c>
      <c r="C121" s="196"/>
      <c r="D121" s="196"/>
      <c r="E121" s="196"/>
      <c r="F121" s="196"/>
      <c r="G121" s="196"/>
      <c r="H121" s="201">
        <f>H$19</f>
        <v>16359.448499999999</v>
      </c>
      <c r="I121" s="201">
        <f>I$19</f>
        <v>16626.497485200009</v>
      </c>
      <c r="J121" s="201">
        <f t="shared" ref="J121:M121" si="32">J$19</f>
        <v>16614.409954652521</v>
      </c>
      <c r="K121" s="201">
        <f t="shared" si="32"/>
        <v>16597.202922591041</v>
      </c>
      <c r="L121" s="201">
        <f t="shared" si="32"/>
        <v>16471.024305143779</v>
      </c>
      <c r="M121" s="201">
        <f t="shared" si="32"/>
        <v>16179.959761726932</v>
      </c>
      <c r="N121" s="257"/>
    </row>
    <row r="122" spans="1:15" s="54" customFormat="1" ht="15" customHeight="1" outlineLevel="1">
      <c r="A122" s="249"/>
      <c r="B122" s="200" t="s">
        <v>74</v>
      </c>
      <c r="C122" s="196"/>
      <c r="D122" s="196"/>
      <c r="E122" s="196"/>
      <c r="F122" s="196"/>
      <c r="G122" s="196"/>
      <c r="H122" s="201">
        <f>H$121*-H119</f>
        <v>-3517.8269239279412</v>
      </c>
      <c r="I122" s="201">
        <f t="shared" ref="I122:M122" si="33">I$121*-I119</f>
        <v>-3491.5644718920016</v>
      </c>
      <c r="J122" s="201">
        <f t="shared" si="33"/>
        <v>-3489.0260904770294</v>
      </c>
      <c r="K122" s="201">
        <f t="shared" si="33"/>
        <v>-3485.4126137441185</v>
      </c>
      <c r="L122" s="201">
        <f t="shared" si="33"/>
        <v>-3458.9151040801935</v>
      </c>
      <c r="M122" s="201">
        <f t="shared" si="33"/>
        <v>-3397.7915499626556</v>
      </c>
      <c r="N122" s="257"/>
    </row>
    <row r="123" spans="1:15" s="54" customFormat="1" ht="15" customHeight="1" outlineLevel="1">
      <c r="A123" s="249"/>
      <c r="B123" s="200" t="s">
        <v>10</v>
      </c>
      <c r="C123" s="196"/>
      <c r="D123" s="196"/>
      <c r="E123" s="196"/>
      <c r="F123" s="196"/>
      <c r="G123" s="196"/>
      <c r="H123" s="201">
        <f>+H$15</f>
        <v>19811.448499999999</v>
      </c>
      <c r="I123" s="201">
        <f>+I$15</f>
        <v>20914.247485200009</v>
      </c>
      <c r="J123" s="201">
        <f t="shared" ref="J123:M123" si="34">+J$15</f>
        <v>21250.909954652521</v>
      </c>
      <c r="K123" s="201">
        <f t="shared" si="34"/>
        <v>21591.827922591041</v>
      </c>
      <c r="L123" s="201">
        <f t="shared" si="34"/>
        <v>21827.524305143779</v>
      </c>
      <c r="M123" s="201">
        <f t="shared" si="34"/>
        <v>21908.647261726932</v>
      </c>
      <c r="N123" s="257"/>
    </row>
    <row r="124" spans="1:15" s="54" customFormat="1" ht="15" customHeight="1" outlineLevel="1">
      <c r="A124" s="249"/>
      <c r="B124" s="200" t="s">
        <v>138</v>
      </c>
      <c r="C124" s="196"/>
      <c r="D124" s="196"/>
      <c r="E124" s="196"/>
      <c r="F124" s="196"/>
      <c r="G124" s="196"/>
      <c r="H124" s="201">
        <f>H$50</f>
        <v>-2000</v>
      </c>
      <c r="I124" s="201">
        <f>I$50</f>
        <v>-6900</v>
      </c>
      <c r="J124" s="201">
        <f t="shared" ref="J124:M124" si="35">J$50</f>
        <v>-7050</v>
      </c>
      <c r="K124" s="201">
        <f t="shared" si="35"/>
        <v>-7275</v>
      </c>
      <c r="L124" s="201">
        <f t="shared" si="35"/>
        <v>-7200</v>
      </c>
      <c r="M124" s="201">
        <f t="shared" si="35"/>
        <v>-7687.5</v>
      </c>
      <c r="N124" s="257"/>
    </row>
    <row r="125" spans="1:15" s="54" customFormat="1" ht="15" customHeight="1" outlineLevel="1">
      <c r="A125" s="249"/>
      <c r="B125" s="200" t="s">
        <v>58</v>
      </c>
      <c r="C125" s="196"/>
      <c r="D125" s="196"/>
      <c r="E125" s="196"/>
      <c r="F125" s="196"/>
      <c r="G125" s="196"/>
      <c r="H125" s="201">
        <f t="shared" ref="H125:M125" si="36">SUM(H43:H45)</f>
        <v>-263</v>
      </c>
      <c r="I125" s="201">
        <f t="shared" si="36"/>
        <v>-535.28063720000068</v>
      </c>
      <c r="J125" s="201">
        <f t="shared" si="36"/>
        <v>-117.57054080771877</v>
      </c>
      <c r="K125" s="201">
        <f t="shared" si="36"/>
        <v>-119.93370867795579</v>
      </c>
      <c r="L125" s="201">
        <f t="shared" si="36"/>
        <v>-91.606112544618099</v>
      </c>
      <c r="M125" s="201">
        <f t="shared" si="36"/>
        <v>-61.938369767281756</v>
      </c>
      <c r="N125" s="257"/>
    </row>
    <row r="126" spans="1:15" s="54" customFormat="1" ht="15" customHeight="1" outlineLevel="1">
      <c r="A126" s="249"/>
      <c r="B126" s="200" t="s">
        <v>135</v>
      </c>
      <c r="C126" s="196"/>
      <c r="D126" s="196"/>
      <c r="E126" s="196"/>
      <c r="F126" s="196"/>
      <c r="G126" s="196"/>
      <c r="H126" s="201">
        <f>+H$93</f>
        <v>20000</v>
      </c>
      <c r="I126" s="99"/>
      <c r="J126" s="97"/>
      <c r="K126" s="97"/>
      <c r="L126" s="97"/>
      <c r="M126" s="101"/>
      <c r="N126" s="257"/>
    </row>
    <row r="127" spans="1:15" s="54" customFormat="1" ht="15" customHeight="1" outlineLevel="1">
      <c r="A127" s="249"/>
      <c r="B127" s="200" t="s">
        <v>35</v>
      </c>
      <c r="C127" s="196"/>
      <c r="D127" s="196"/>
      <c r="E127" s="196"/>
      <c r="F127" s="196"/>
      <c r="G127" s="196"/>
      <c r="H127" s="201">
        <f>+H$76</f>
        <v>5856.9990999999991</v>
      </c>
      <c r="I127" s="100"/>
      <c r="J127" s="98"/>
      <c r="K127" s="98"/>
      <c r="L127" s="98"/>
      <c r="M127" s="102"/>
      <c r="N127" s="257"/>
    </row>
    <row r="128" spans="1:15" s="10" customFormat="1" ht="15" customHeight="1" outlineLevel="1">
      <c r="A128" s="247"/>
      <c r="B128" s="77"/>
      <c r="C128" s="13"/>
      <c r="D128" s="13"/>
      <c r="E128" s="13"/>
      <c r="F128" s="13"/>
      <c r="G128" s="13"/>
      <c r="H128" s="70"/>
      <c r="I128" s="78"/>
      <c r="J128" s="78"/>
      <c r="K128" s="78"/>
      <c r="L128" s="78"/>
      <c r="M128" s="78"/>
      <c r="N128" s="255"/>
    </row>
    <row r="129" spans="1:16" s="10" customFormat="1" ht="15" customHeight="1">
      <c r="A129" s="247"/>
      <c r="B129" s="193"/>
      <c r="C129" s="161"/>
      <c r="D129" s="161"/>
      <c r="E129" s="161"/>
      <c r="F129" s="161"/>
      <c r="G129" s="161"/>
      <c r="H129" s="194"/>
      <c r="I129" s="195"/>
      <c r="J129" s="195"/>
      <c r="K129" s="195"/>
      <c r="L129" s="195"/>
      <c r="M129" s="195"/>
      <c r="N129" s="255"/>
    </row>
    <row r="130" spans="1:16" s="10" customFormat="1" ht="15" customHeight="1">
      <c r="A130" s="246" t="s">
        <v>21</v>
      </c>
      <c r="B130" s="407" t="s">
        <v>143</v>
      </c>
      <c r="C130" s="407"/>
      <c r="D130" s="407"/>
      <c r="E130" s="407"/>
      <c r="F130" s="409"/>
      <c r="G130" s="409"/>
      <c r="H130" s="409"/>
      <c r="I130" s="410"/>
      <c r="J130" s="411"/>
      <c r="K130" s="411"/>
      <c r="L130" s="411"/>
      <c r="M130" s="411"/>
      <c r="N130" s="412"/>
    </row>
    <row r="131" spans="1:16" s="10" customFormat="1" ht="15" customHeight="1" outlineLevel="1">
      <c r="A131" s="247"/>
      <c r="B131" s="204"/>
      <c r="C131" s="161"/>
      <c r="D131" s="161"/>
      <c r="E131" s="161"/>
      <c r="F131" s="161"/>
      <c r="G131" s="161"/>
      <c r="H131" s="161"/>
      <c r="I131" s="161"/>
      <c r="J131" s="161"/>
      <c r="K131" s="161"/>
      <c r="L131" s="161"/>
      <c r="M131" s="161"/>
      <c r="N131" s="255"/>
    </row>
    <row r="132" spans="1:16" s="10" customFormat="1" ht="15" customHeight="1" outlineLevel="1">
      <c r="A132" s="247"/>
      <c r="B132" s="159" t="s">
        <v>5</v>
      </c>
      <c r="C132" s="161"/>
      <c r="D132" s="161"/>
      <c r="E132" s="161"/>
      <c r="F132" s="161"/>
      <c r="G132" s="161"/>
      <c r="H132" s="161"/>
      <c r="I132" s="161"/>
      <c r="J132" s="161"/>
      <c r="K132" s="161"/>
      <c r="L132" s="161"/>
      <c r="M132" s="161"/>
      <c r="N132" s="255"/>
    </row>
    <row r="133" spans="1:16" s="10" customFormat="1" ht="15" customHeight="1" outlineLevel="1" thickBot="1">
      <c r="A133" s="247"/>
      <c r="B133" s="161"/>
      <c r="C133" s="161"/>
      <c r="D133" s="161"/>
      <c r="E133" s="161"/>
      <c r="F133" s="161"/>
      <c r="G133" s="161"/>
      <c r="H133" s="161"/>
      <c r="I133" s="25">
        <f t="shared" ref="I133:M133" si="37">I$5</f>
        <v>2023</v>
      </c>
      <c r="J133" s="25">
        <f t="shared" si="37"/>
        <v>2024</v>
      </c>
      <c r="K133" s="25">
        <f t="shared" si="37"/>
        <v>2025</v>
      </c>
      <c r="L133" s="25">
        <f t="shared" si="37"/>
        <v>2026</v>
      </c>
      <c r="M133" s="25">
        <f t="shared" si="37"/>
        <v>2027</v>
      </c>
      <c r="N133" s="255"/>
    </row>
    <row r="134" spans="1:16" s="54" customFormat="1" ht="15" customHeight="1" outlineLevel="1">
      <c r="A134" s="249"/>
      <c r="B134" s="197" t="s">
        <v>76</v>
      </c>
      <c r="C134" s="196"/>
      <c r="D134" s="196"/>
      <c r="E134" s="196"/>
      <c r="F134" s="196"/>
      <c r="G134" s="196"/>
      <c r="H134" s="205"/>
      <c r="I134" s="206"/>
      <c r="J134" s="206"/>
      <c r="K134" s="206"/>
      <c r="L134" s="206"/>
      <c r="M134" s="206"/>
      <c r="N134" s="257"/>
    </row>
    <row r="135" spans="1:16" s="54" customFormat="1" ht="15" customHeight="1" outlineLevel="1">
      <c r="A135" s="249"/>
      <c r="B135" s="200" t="s">
        <v>12</v>
      </c>
      <c r="C135" s="196"/>
      <c r="D135" s="196"/>
      <c r="E135" s="196"/>
      <c r="F135" s="196"/>
      <c r="G135" s="196"/>
      <c r="H135" s="205"/>
      <c r="I135" s="207">
        <f>+I$121</f>
        <v>16626.497485200009</v>
      </c>
      <c r="J135" s="207">
        <f t="shared" ref="J135:M135" si="38">+J$121</f>
        <v>16614.409954652521</v>
      </c>
      <c r="K135" s="207">
        <f t="shared" si="38"/>
        <v>16597.202922591041</v>
      </c>
      <c r="L135" s="207">
        <f t="shared" si="38"/>
        <v>16471.024305143779</v>
      </c>
      <c r="M135" s="207">
        <f t="shared" si="38"/>
        <v>16179.959761726932</v>
      </c>
      <c r="N135" s="257"/>
    </row>
    <row r="136" spans="1:16" s="54" customFormat="1" ht="15" customHeight="1" outlineLevel="1">
      <c r="A136" s="249"/>
      <c r="B136" s="200" t="s">
        <v>139</v>
      </c>
      <c r="C136" s="196"/>
      <c r="D136" s="196"/>
      <c r="E136" s="196"/>
      <c r="F136" s="196"/>
      <c r="G136" s="196"/>
      <c r="H136" s="205"/>
      <c r="I136" s="207">
        <f>I135*-I119</f>
        <v>-3491.5644718920016</v>
      </c>
      <c r="J136" s="207">
        <f>J135*-J119</f>
        <v>-3489.0260904770294</v>
      </c>
      <c r="K136" s="207">
        <f>K135*-K119</f>
        <v>-3485.4126137441185</v>
      </c>
      <c r="L136" s="207">
        <f>L135*-L119</f>
        <v>-3458.9151040801935</v>
      </c>
      <c r="M136" s="207">
        <f>M135*-M119</f>
        <v>-3397.7915499626556</v>
      </c>
      <c r="N136" s="257"/>
    </row>
    <row r="137" spans="1:16" s="54" customFormat="1" ht="15" customHeight="1" outlineLevel="1">
      <c r="A137" s="249"/>
      <c r="B137" s="200" t="s">
        <v>140</v>
      </c>
      <c r="C137" s="196"/>
      <c r="D137" s="196"/>
      <c r="E137" s="196"/>
      <c r="F137" s="196"/>
      <c r="G137" s="196"/>
      <c r="H137" s="205"/>
      <c r="I137" s="207">
        <f>SUM(I135:I136)</f>
        <v>13134.933013308008</v>
      </c>
      <c r="J137" s="207">
        <f t="shared" ref="J137:M137" si="39">SUM(J135:J136)</f>
        <v>13125.383864175492</v>
      </c>
      <c r="K137" s="207">
        <f t="shared" si="39"/>
        <v>13111.790308846923</v>
      </c>
      <c r="L137" s="207">
        <f t="shared" si="39"/>
        <v>13012.109201063586</v>
      </c>
      <c r="M137" s="207">
        <f t="shared" si="39"/>
        <v>12782.168211764276</v>
      </c>
      <c r="N137" s="257"/>
    </row>
    <row r="138" spans="1:16" s="54" customFormat="1" ht="15" customHeight="1" outlineLevel="1">
      <c r="A138" s="249"/>
      <c r="B138" s="200" t="s">
        <v>11</v>
      </c>
      <c r="C138" s="196"/>
      <c r="D138" s="196"/>
      <c r="E138" s="196"/>
      <c r="F138" s="196"/>
      <c r="G138" s="196"/>
      <c r="H138" s="205"/>
      <c r="I138" s="207">
        <f>+I$117</f>
        <v>4287.75</v>
      </c>
      <c r="J138" s="207">
        <f t="shared" ref="J138:M138" si="40">+J$117</f>
        <v>4636.5</v>
      </c>
      <c r="K138" s="207">
        <f t="shared" si="40"/>
        <v>4994.625</v>
      </c>
      <c r="L138" s="207">
        <f t="shared" si="40"/>
        <v>5356.5</v>
      </c>
      <c r="M138" s="207">
        <f t="shared" si="40"/>
        <v>5728.6875</v>
      </c>
      <c r="N138" s="257"/>
    </row>
    <row r="139" spans="1:16" s="54" customFormat="1" ht="15" customHeight="1" outlineLevel="1">
      <c r="A139" s="249"/>
      <c r="B139" s="200" t="s">
        <v>59</v>
      </c>
      <c r="C139" s="196"/>
      <c r="D139" s="196"/>
      <c r="E139" s="196"/>
      <c r="F139" s="196"/>
      <c r="G139" s="196"/>
      <c r="H139" s="205"/>
      <c r="I139" s="207">
        <f>+I$124</f>
        <v>-6900</v>
      </c>
      <c r="J139" s="207">
        <f t="shared" ref="J139:M139" si="41">+J$124</f>
        <v>-7050</v>
      </c>
      <c r="K139" s="207">
        <f t="shared" si="41"/>
        <v>-7275</v>
      </c>
      <c r="L139" s="207">
        <f t="shared" si="41"/>
        <v>-7200</v>
      </c>
      <c r="M139" s="207">
        <f t="shared" si="41"/>
        <v>-7687.5</v>
      </c>
      <c r="N139" s="257"/>
    </row>
    <row r="140" spans="1:16" s="54" customFormat="1" ht="15" customHeight="1" outlineLevel="1">
      <c r="A140" s="249"/>
      <c r="B140" s="200" t="s">
        <v>58</v>
      </c>
      <c r="C140" s="196"/>
      <c r="D140" s="196"/>
      <c r="E140" s="196"/>
      <c r="F140" s="196"/>
      <c r="G140" s="196"/>
      <c r="H140" s="205"/>
      <c r="I140" s="207">
        <f>+I$125</f>
        <v>-535.28063720000068</v>
      </c>
      <c r="J140" s="207">
        <f t="shared" ref="J140:M140" si="42">+J$125</f>
        <v>-117.57054080771877</v>
      </c>
      <c r="K140" s="207">
        <f t="shared" si="42"/>
        <v>-119.93370867795579</v>
      </c>
      <c r="L140" s="207">
        <f t="shared" si="42"/>
        <v>-91.606112544618099</v>
      </c>
      <c r="M140" s="207">
        <f t="shared" si="42"/>
        <v>-61.938369767281756</v>
      </c>
      <c r="N140" s="257"/>
    </row>
    <row r="141" spans="1:16" s="54" customFormat="1" ht="15" customHeight="1" outlineLevel="1" thickBot="1">
      <c r="A141" s="249"/>
      <c r="B141" s="200" t="s">
        <v>131</v>
      </c>
      <c r="C141" s="196"/>
      <c r="D141" s="196"/>
      <c r="E141" s="196"/>
      <c r="F141" s="196"/>
      <c r="G141" s="196"/>
      <c r="H141" s="205"/>
      <c r="I141" s="115">
        <f>SUM(I137:I140)</f>
        <v>9987.4023761080061</v>
      </c>
      <c r="J141" s="115">
        <f t="shared" ref="J141:M141" si="43">SUM(J137:J140)</f>
        <v>10594.313323367773</v>
      </c>
      <c r="K141" s="115">
        <f t="shared" si="43"/>
        <v>10711.481600168969</v>
      </c>
      <c r="L141" s="115">
        <f t="shared" si="43"/>
        <v>11077.003088518966</v>
      </c>
      <c r="M141" s="115">
        <f t="shared" si="43"/>
        <v>10761.417341996996</v>
      </c>
      <c r="N141" s="257"/>
      <c r="P141"/>
    </row>
    <row r="142" spans="1:16" s="54" customFormat="1" ht="15" customHeight="1" outlineLevel="1">
      <c r="A142" s="249"/>
      <c r="B142" s="200"/>
      <c r="C142" s="196"/>
      <c r="D142" s="196"/>
      <c r="E142" s="196"/>
      <c r="F142" s="196"/>
      <c r="G142" s="196"/>
      <c r="H142" s="205"/>
      <c r="I142" s="207"/>
      <c r="J142" s="207"/>
      <c r="K142" s="207"/>
      <c r="L142" s="207"/>
      <c r="M142" s="207"/>
      <c r="N142" s="257"/>
      <c r="P142"/>
    </row>
    <row r="143" spans="1:16" s="54" customFormat="1" ht="15" customHeight="1" outlineLevel="1">
      <c r="A143" s="249"/>
      <c r="B143" s="197" t="s">
        <v>75</v>
      </c>
      <c r="C143" s="196"/>
      <c r="D143" s="196"/>
      <c r="E143" s="196"/>
      <c r="F143" s="196"/>
      <c r="G143" s="196"/>
      <c r="H143" s="205"/>
      <c r="I143" s="206"/>
      <c r="J143" s="206"/>
      <c r="K143" s="206"/>
      <c r="L143" s="206"/>
      <c r="M143" s="206"/>
      <c r="N143" s="257"/>
      <c r="O143" s="30"/>
      <c r="P143"/>
    </row>
    <row r="144" spans="1:16" s="54" customFormat="1" ht="15" customHeight="1" outlineLevel="1">
      <c r="A144" s="249"/>
      <c r="B144" s="200" t="s">
        <v>13</v>
      </c>
      <c r="C144" s="196"/>
      <c r="D144" s="196"/>
      <c r="E144" s="196"/>
      <c r="F144" s="196"/>
      <c r="G144" s="196"/>
      <c r="H144" s="198"/>
      <c r="I144" s="201">
        <f>+I$116</f>
        <v>12233.203306198007</v>
      </c>
      <c r="J144" s="201">
        <f t="shared" ref="J144:M144" si="44">+J$116</f>
        <v>12268.202509926783</v>
      </c>
      <c r="K144" s="201">
        <f t="shared" si="44"/>
        <v>12304.24853718857</v>
      </c>
      <c r="L144" s="201">
        <f t="shared" si="44"/>
        <v>12255.467841361708</v>
      </c>
      <c r="M144" s="201">
        <f t="shared" si="44"/>
        <v>12079.794070530703</v>
      </c>
      <c r="N144" s="257"/>
      <c r="P144"/>
    </row>
    <row r="145" spans="1:16" s="54" customFormat="1" ht="15" customHeight="1" outlineLevel="1">
      <c r="A145" s="249"/>
      <c r="B145" s="200" t="s">
        <v>11</v>
      </c>
      <c r="C145" s="196"/>
      <c r="D145" s="196"/>
      <c r="E145" s="196"/>
      <c r="F145" s="196"/>
      <c r="G145" s="196"/>
      <c r="H145" s="198"/>
      <c r="I145" s="201">
        <f>I$117</f>
        <v>4287.75</v>
      </c>
      <c r="J145" s="201">
        <f t="shared" ref="J145:M145" si="45">J$117</f>
        <v>4636.5</v>
      </c>
      <c r="K145" s="201">
        <f t="shared" si="45"/>
        <v>4994.625</v>
      </c>
      <c r="L145" s="201">
        <f t="shared" si="45"/>
        <v>5356.5</v>
      </c>
      <c r="M145" s="201">
        <f t="shared" si="45"/>
        <v>5728.6875</v>
      </c>
      <c r="N145" s="257"/>
      <c r="P145"/>
    </row>
    <row r="146" spans="1:16" s="54" customFormat="1" ht="15" customHeight="1" outlineLevel="1">
      <c r="A146" s="249"/>
      <c r="B146" s="200" t="s">
        <v>141</v>
      </c>
      <c r="C146" s="196"/>
      <c r="D146" s="196"/>
      <c r="E146" s="196"/>
      <c r="F146" s="196"/>
      <c r="G146" s="196"/>
      <c r="H146" s="198"/>
      <c r="I146" s="201">
        <f>+I$120</f>
        <v>901.72970710999994</v>
      </c>
      <c r="J146" s="201">
        <f t="shared" ref="J146:M146" si="46">+J$120</f>
        <v>857.18135424870866</v>
      </c>
      <c r="K146" s="201">
        <f t="shared" si="46"/>
        <v>807.54177165835233</v>
      </c>
      <c r="L146" s="201">
        <f t="shared" si="46"/>
        <v>756.64135970187635</v>
      </c>
      <c r="M146" s="201">
        <f t="shared" si="46"/>
        <v>702.37414123357291</v>
      </c>
      <c r="N146" s="257"/>
      <c r="P146"/>
    </row>
    <row r="147" spans="1:16" s="54" customFormat="1" ht="15" customHeight="1" outlineLevel="1">
      <c r="A147" s="249"/>
      <c r="B147" s="200" t="s">
        <v>59</v>
      </c>
      <c r="C147" s="196"/>
      <c r="D147" s="196"/>
      <c r="E147" s="196"/>
      <c r="F147" s="196"/>
      <c r="G147" s="196"/>
      <c r="H147" s="196"/>
      <c r="I147" s="207">
        <f>+I$124</f>
        <v>-6900</v>
      </c>
      <c r="J147" s="207">
        <f t="shared" ref="J147:M147" si="47">+J$124</f>
        <v>-7050</v>
      </c>
      <c r="K147" s="207">
        <f t="shared" si="47"/>
        <v>-7275</v>
      </c>
      <c r="L147" s="207">
        <f t="shared" si="47"/>
        <v>-7200</v>
      </c>
      <c r="M147" s="207">
        <f t="shared" si="47"/>
        <v>-7687.5</v>
      </c>
      <c r="N147" s="258"/>
      <c r="P147"/>
    </row>
    <row r="148" spans="1:16" s="54" customFormat="1" ht="15" customHeight="1" outlineLevel="1">
      <c r="A148" s="249"/>
      <c r="B148" s="200" t="s">
        <v>58</v>
      </c>
      <c r="C148" s="196"/>
      <c r="D148" s="196"/>
      <c r="E148" s="196"/>
      <c r="F148" s="196"/>
      <c r="G148" s="196"/>
      <c r="H148" s="196"/>
      <c r="I148" s="201">
        <f>+I$125</f>
        <v>-535.28063720000068</v>
      </c>
      <c r="J148" s="201">
        <f t="shared" ref="J148:M148" si="48">+J$125</f>
        <v>-117.57054080771877</v>
      </c>
      <c r="K148" s="201">
        <f t="shared" si="48"/>
        <v>-119.93370867795579</v>
      </c>
      <c r="L148" s="201">
        <f t="shared" si="48"/>
        <v>-91.606112544618099</v>
      </c>
      <c r="M148" s="201">
        <f t="shared" si="48"/>
        <v>-61.938369767281756</v>
      </c>
      <c r="N148" s="257"/>
      <c r="P148"/>
    </row>
    <row r="149" spans="1:16" s="54" customFormat="1" ht="15" customHeight="1" outlineLevel="1" thickBot="1">
      <c r="A149" s="249"/>
      <c r="B149" s="200" t="s">
        <v>132</v>
      </c>
      <c r="C149" s="196"/>
      <c r="D149" s="196"/>
      <c r="E149" s="196"/>
      <c r="F149" s="196"/>
      <c r="G149" s="196"/>
      <c r="H149" s="196"/>
      <c r="I149" s="116">
        <f>SUM(I144:I148)</f>
        <v>9987.4023761080061</v>
      </c>
      <c r="J149" s="116">
        <f t="shared" ref="J149:M149" si="49">SUM(J144:J148)</f>
        <v>10594.313323367773</v>
      </c>
      <c r="K149" s="116">
        <f t="shared" si="49"/>
        <v>10711.481600168965</v>
      </c>
      <c r="L149" s="116">
        <f t="shared" si="49"/>
        <v>11077.003088518966</v>
      </c>
      <c r="M149" s="116">
        <f t="shared" si="49"/>
        <v>10761.417341996996</v>
      </c>
      <c r="N149" s="257"/>
      <c r="P149"/>
    </row>
    <row r="150" spans="1:16" s="54" customFormat="1" ht="15" customHeight="1" outlineLevel="1">
      <c r="A150" s="249"/>
      <c r="B150" s="200"/>
      <c r="C150" s="196"/>
      <c r="D150" s="196"/>
      <c r="E150" s="196"/>
      <c r="F150" s="196"/>
      <c r="G150" s="196"/>
      <c r="H150" s="196"/>
      <c r="I150" s="199"/>
      <c r="J150" s="199"/>
      <c r="K150" s="199"/>
      <c r="L150" s="199"/>
      <c r="M150" s="199"/>
      <c r="N150" s="257"/>
      <c r="P150"/>
    </row>
    <row r="151" spans="1:16" s="54" customFormat="1" ht="15" customHeight="1" outlineLevel="1">
      <c r="A151" s="249"/>
      <c r="B151" s="197" t="s">
        <v>77</v>
      </c>
      <c r="C151" s="196"/>
      <c r="D151" s="196"/>
      <c r="E151" s="196"/>
      <c r="F151" s="196"/>
      <c r="G151" s="196"/>
      <c r="H151" s="205"/>
      <c r="I151" s="206"/>
      <c r="J151" s="206"/>
      <c r="K151" s="206"/>
      <c r="L151" s="206"/>
      <c r="M151" s="206"/>
      <c r="N151" s="257"/>
      <c r="P151"/>
    </row>
    <row r="152" spans="1:16" s="54" customFormat="1" ht="15" customHeight="1" outlineLevel="1">
      <c r="A152" s="249"/>
      <c r="B152" s="200" t="s">
        <v>10</v>
      </c>
      <c r="C152" s="196"/>
      <c r="D152" s="196"/>
      <c r="E152" s="196"/>
      <c r="F152" s="196"/>
      <c r="G152" s="196"/>
      <c r="H152" s="205"/>
      <c r="I152" s="207">
        <f>+I$123</f>
        <v>20914.247485200009</v>
      </c>
      <c r="J152" s="207">
        <f t="shared" ref="J152:M152" si="50">+J$123</f>
        <v>21250.909954652521</v>
      </c>
      <c r="K152" s="207">
        <f t="shared" si="50"/>
        <v>21591.827922591041</v>
      </c>
      <c r="L152" s="207">
        <f t="shared" si="50"/>
        <v>21827.524305143779</v>
      </c>
      <c r="M152" s="207">
        <f t="shared" si="50"/>
        <v>21908.647261726932</v>
      </c>
      <c r="N152" s="257"/>
      <c r="P152"/>
    </row>
    <row r="153" spans="1:16" s="54" customFormat="1" ht="15" customHeight="1" outlineLevel="1">
      <c r="A153" s="249"/>
      <c r="B153" s="200" t="s">
        <v>74</v>
      </c>
      <c r="C153" s="196"/>
      <c r="D153" s="196"/>
      <c r="E153" s="196"/>
      <c r="F153" s="196"/>
      <c r="G153" s="196"/>
      <c r="H153" s="205"/>
      <c r="I153" s="207">
        <f>+I$122</f>
        <v>-3491.5644718920016</v>
      </c>
      <c r="J153" s="207">
        <f>+J$122</f>
        <v>-3489.0260904770294</v>
      </c>
      <c r="K153" s="207">
        <f>+K$122</f>
        <v>-3485.4126137441185</v>
      </c>
      <c r="L153" s="207">
        <f>+L$122</f>
        <v>-3458.9151040801935</v>
      </c>
      <c r="M153" s="207">
        <f>+M$122</f>
        <v>-3397.7915499626556</v>
      </c>
      <c r="N153" s="257"/>
      <c r="P153"/>
    </row>
    <row r="154" spans="1:16" s="54" customFormat="1" ht="15" customHeight="1" outlineLevel="1">
      <c r="A154" s="249"/>
      <c r="B154" s="200" t="s">
        <v>59</v>
      </c>
      <c r="C154" s="196"/>
      <c r="D154" s="196"/>
      <c r="E154" s="196"/>
      <c r="F154" s="196"/>
      <c r="G154" s="196"/>
      <c r="H154" s="205"/>
      <c r="I154" s="207">
        <f>+I$147</f>
        <v>-6900</v>
      </c>
      <c r="J154" s="207">
        <f t="shared" ref="J154:M154" si="51">+J$147</f>
        <v>-7050</v>
      </c>
      <c r="K154" s="207">
        <f t="shared" si="51"/>
        <v>-7275</v>
      </c>
      <c r="L154" s="207">
        <f t="shared" si="51"/>
        <v>-7200</v>
      </c>
      <c r="M154" s="207">
        <f t="shared" si="51"/>
        <v>-7687.5</v>
      </c>
      <c r="N154" s="257"/>
      <c r="P154"/>
    </row>
    <row r="155" spans="1:16" s="54" customFormat="1" ht="15" customHeight="1" outlineLevel="1">
      <c r="A155" s="249"/>
      <c r="B155" s="200" t="s">
        <v>58</v>
      </c>
      <c r="C155" s="196"/>
      <c r="D155" s="196"/>
      <c r="E155" s="196"/>
      <c r="F155" s="196"/>
      <c r="G155" s="196"/>
      <c r="H155" s="205"/>
      <c r="I155" s="207">
        <f>+I$148</f>
        <v>-535.28063720000068</v>
      </c>
      <c r="J155" s="207">
        <f t="shared" ref="J155:M155" si="52">+J$148</f>
        <v>-117.57054080771877</v>
      </c>
      <c r="K155" s="207">
        <f t="shared" si="52"/>
        <v>-119.93370867795579</v>
      </c>
      <c r="L155" s="207">
        <f t="shared" si="52"/>
        <v>-91.606112544618099</v>
      </c>
      <c r="M155" s="207">
        <f t="shared" si="52"/>
        <v>-61.938369767281756</v>
      </c>
      <c r="N155" s="257"/>
      <c r="P155"/>
    </row>
    <row r="156" spans="1:16" s="54" customFormat="1" ht="15" customHeight="1" outlineLevel="1" thickBot="1">
      <c r="A156" s="249"/>
      <c r="B156" s="200" t="s">
        <v>130</v>
      </c>
      <c r="C156" s="196"/>
      <c r="D156" s="196"/>
      <c r="E156" s="196"/>
      <c r="F156" s="196"/>
      <c r="G156" s="196"/>
      <c r="H156" s="205"/>
      <c r="I156" s="115">
        <f>SUM(I152:I155)</f>
        <v>9987.4023761080061</v>
      </c>
      <c r="J156" s="115">
        <f>SUM(J152:J155)</f>
        <v>10594.313323367773</v>
      </c>
      <c r="K156" s="115">
        <f>SUM(K152:K155)</f>
        <v>10711.481600168965</v>
      </c>
      <c r="L156" s="115">
        <f>SUM(L152:L155)</f>
        <v>11077.003088518966</v>
      </c>
      <c r="M156" s="115">
        <f>SUM(M152:M155)</f>
        <v>10761.417341996996</v>
      </c>
      <c r="N156" s="257"/>
      <c r="P156"/>
    </row>
    <row r="157" spans="1:16" s="54" customFormat="1" ht="15" customHeight="1" outlineLevel="1">
      <c r="A157" s="249"/>
      <c r="B157" s="200"/>
      <c r="C157" s="196"/>
      <c r="D157" s="196"/>
      <c r="E157" s="196"/>
      <c r="F157" s="196"/>
      <c r="G157" s="196"/>
      <c r="H157" s="205"/>
      <c r="I157" s="207"/>
      <c r="J157" s="207"/>
      <c r="K157" s="207"/>
      <c r="L157" s="207"/>
      <c r="M157" s="207"/>
      <c r="N157" s="257"/>
      <c r="P157"/>
    </row>
    <row r="158" spans="1:16" s="54" customFormat="1" ht="15" customHeight="1" outlineLevel="1">
      <c r="A158" s="249"/>
      <c r="B158" s="72"/>
      <c r="C158" s="72"/>
      <c r="D158" s="72"/>
      <c r="E158" s="72"/>
      <c r="F158" s="72"/>
      <c r="G158" s="72"/>
      <c r="H158" s="73"/>
      <c r="I158" s="74"/>
      <c r="J158" s="74"/>
      <c r="K158" s="74"/>
      <c r="L158" s="74"/>
      <c r="M158" s="74"/>
      <c r="N158" s="257"/>
    </row>
    <row r="159" spans="1:16" s="10" customFormat="1" ht="15" customHeight="1">
      <c r="A159" s="247"/>
      <c r="B159" s="193"/>
      <c r="C159" s="161"/>
      <c r="D159" s="161"/>
      <c r="E159" s="161"/>
      <c r="F159" s="161"/>
      <c r="G159" s="161"/>
      <c r="H159" s="161"/>
      <c r="I159" s="195"/>
      <c r="J159" s="195"/>
      <c r="K159" s="195"/>
      <c r="L159" s="195"/>
      <c r="M159" s="195"/>
      <c r="N159" s="255"/>
    </row>
    <row r="160" spans="1:16" s="10" customFormat="1" ht="15" customHeight="1">
      <c r="A160" s="246" t="s">
        <v>21</v>
      </c>
      <c r="B160" s="407" t="s">
        <v>145</v>
      </c>
      <c r="C160" s="407"/>
      <c r="D160" s="407"/>
      <c r="E160" s="407"/>
      <c r="F160" s="409"/>
      <c r="G160" s="409"/>
      <c r="H160" s="409"/>
      <c r="I160" s="410"/>
      <c r="J160" s="411"/>
      <c r="K160" s="411"/>
      <c r="L160" s="411"/>
      <c r="M160" s="411"/>
      <c r="N160" s="412"/>
    </row>
    <row r="161" spans="1:14" s="10" customFormat="1" ht="15" customHeight="1" outlineLevel="1">
      <c r="A161" s="246"/>
      <c r="B161" s="156"/>
      <c r="C161" s="149"/>
      <c r="D161" s="208"/>
      <c r="E161" s="208"/>
      <c r="F161" s="158"/>
      <c r="G161" s="158"/>
      <c r="H161" s="158"/>
      <c r="I161" s="209"/>
      <c r="J161" s="210"/>
      <c r="K161" s="210"/>
      <c r="L161" s="210"/>
      <c r="M161" s="210"/>
      <c r="N161" s="255"/>
    </row>
    <row r="162" spans="1:14" s="10" customFormat="1" ht="15" customHeight="1" outlineLevel="1">
      <c r="A162" s="247"/>
      <c r="B162" s="211" t="s">
        <v>146</v>
      </c>
      <c r="C162" s="161"/>
      <c r="D162" s="161"/>
      <c r="E162" s="161"/>
      <c r="F162" s="161"/>
      <c r="G162" s="161"/>
      <c r="H162" s="161"/>
      <c r="I162" s="161"/>
      <c r="J162" s="161"/>
      <c r="K162" s="161"/>
      <c r="L162" s="161"/>
      <c r="M162" s="161"/>
      <c r="N162" s="255"/>
    </row>
    <row r="163" spans="1:14" s="10" customFormat="1" ht="15" customHeight="1" outlineLevel="1">
      <c r="A163" s="247"/>
      <c r="B163" s="211"/>
      <c r="C163" s="161"/>
      <c r="D163" s="161"/>
      <c r="E163" s="161"/>
      <c r="F163" s="161"/>
      <c r="G163" s="161"/>
      <c r="H163" s="161"/>
      <c r="I163" s="161"/>
      <c r="J163" s="161"/>
      <c r="K163" s="161"/>
      <c r="L163" s="161"/>
      <c r="M163" s="161"/>
      <c r="N163" s="255"/>
    </row>
    <row r="164" spans="1:14" s="10" customFormat="1" ht="15" customHeight="1" outlineLevel="1">
      <c r="A164" s="247"/>
      <c r="B164" s="8" t="s">
        <v>79</v>
      </c>
      <c r="C164" s="33"/>
      <c r="D164" s="33"/>
      <c r="E164" s="130">
        <v>0.03</v>
      </c>
      <c r="F164" s="161"/>
      <c r="G164" s="161"/>
      <c r="H164" s="161"/>
      <c r="I164" s="161"/>
      <c r="J164" s="161"/>
      <c r="K164" s="161"/>
      <c r="L164" s="161"/>
      <c r="M164" s="161"/>
      <c r="N164" s="255"/>
    </row>
    <row r="165" spans="1:14" s="10" customFormat="1" ht="15" customHeight="1" outlineLevel="1">
      <c r="A165" s="247"/>
      <c r="B165" s="36" t="s">
        <v>80</v>
      </c>
      <c r="C165" s="161"/>
      <c r="D165" s="161"/>
      <c r="E165" s="131">
        <v>1.5</v>
      </c>
      <c r="F165" s="161"/>
      <c r="G165" s="161"/>
      <c r="H165" s="161"/>
      <c r="I165" s="161"/>
      <c r="J165" s="161"/>
      <c r="K165" s="161"/>
      <c r="L165" s="161"/>
      <c r="M165" s="161"/>
      <c r="N165" s="255"/>
    </row>
    <row r="166" spans="1:14" s="10" customFormat="1" ht="15" customHeight="1" outlineLevel="1">
      <c r="A166" s="247"/>
      <c r="B166" s="36" t="s">
        <v>224</v>
      </c>
      <c r="C166" s="161"/>
      <c r="D166" s="161"/>
      <c r="E166" s="132">
        <v>0.06</v>
      </c>
      <c r="F166" s="161"/>
      <c r="G166" s="161"/>
      <c r="H166" s="161"/>
      <c r="I166" s="161"/>
      <c r="J166" s="161"/>
      <c r="K166" s="161"/>
      <c r="L166" s="161"/>
      <c r="M166" s="161"/>
      <c r="N166" s="255"/>
    </row>
    <row r="167" spans="1:14" s="10" customFormat="1" ht="15" customHeight="1" outlineLevel="1">
      <c r="A167" s="247"/>
      <c r="B167" s="52" t="s">
        <v>81</v>
      </c>
      <c r="C167" s="13"/>
      <c r="D167" s="13"/>
      <c r="E167" s="117">
        <f>E164+(E165*E166)</f>
        <v>0.12</v>
      </c>
      <c r="F167" s="161"/>
      <c r="G167" s="161"/>
      <c r="H167" s="161"/>
      <c r="I167" s="161"/>
      <c r="J167" s="161"/>
      <c r="K167" s="161"/>
      <c r="L167" s="161"/>
      <c r="M167" s="161"/>
      <c r="N167" s="255"/>
    </row>
    <row r="168" spans="1:14" s="10" customFormat="1" ht="15" customHeight="1" outlineLevel="1">
      <c r="A168" s="247"/>
      <c r="B168" s="188"/>
      <c r="C168" s="212"/>
      <c r="D168" s="161"/>
      <c r="E168" s="161"/>
      <c r="F168" s="161"/>
      <c r="G168" s="161"/>
      <c r="H168" s="161"/>
      <c r="I168" s="161"/>
      <c r="J168" s="161"/>
      <c r="K168" s="161"/>
      <c r="L168" s="161"/>
      <c r="M168" s="161"/>
      <c r="N168" s="255"/>
    </row>
    <row r="169" spans="1:14" s="10" customFormat="1" ht="15" customHeight="1" outlineLevel="1">
      <c r="A169" s="247"/>
      <c r="B169" s="211"/>
      <c r="C169" s="161"/>
      <c r="D169" s="161"/>
      <c r="E169" s="161"/>
      <c r="F169" s="161"/>
      <c r="G169" s="161"/>
      <c r="H169" s="161"/>
      <c r="I169" s="161"/>
      <c r="J169" s="161"/>
      <c r="K169" s="161"/>
      <c r="L169" s="161"/>
      <c r="M169" s="161"/>
      <c r="N169" s="255"/>
    </row>
    <row r="170" spans="1:14" s="10" customFormat="1" ht="15" customHeight="1" outlineLevel="1">
      <c r="A170" s="247"/>
      <c r="B170" s="211" t="s">
        <v>134</v>
      </c>
      <c r="C170" s="161"/>
      <c r="D170" s="161"/>
      <c r="E170" s="161"/>
      <c r="F170" s="161"/>
      <c r="G170" s="161"/>
      <c r="H170" s="161"/>
      <c r="I170" s="161"/>
      <c r="J170" s="161"/>
      <c r="K170" s="161"/>
      <c r="L170" s="161"/>
      <c r="M170" s="161"/>
      <c r="N170" s="255"/>
    </row>
    <row r="171" spans="1:14" s="10" customFormat="1" ht="15" customHeight="1" outlineLevel="1">
      <c r="A171" s="247"/>
      <c r="B171" s="188"/>
      <c r="C171" s="161"/>
      <c r="D171" s="161"/>
      <c r="E171" s="161"/>
      <c r="F171" s="161"/>
      <c r="G171" s="161"/>
      <c r="H171" s="161"/>
      <c r="I171" s="161"/>
      <c r="J171" s="161"/>
      <c r="K171" s="161"/>
      <c r="L171" s="161"/>
      <c r="M171" s="161"/>
      <c r="N171" s="255"/>
    </row>
    <row r="172" spans="1:14" s="10" customFormat="1" ht="15" customHeight="1" outlineLevel="1">
      <c r="A172" s="247"/>
      <c r="B172" s="8" t="s">
        <v>225</v>
      </c>
      <c r="C172" s="33"/>
      <c r="D172" s="33"/>
      <c r="E172" s="130">
        <v>0.1</v>
      </c>
      <c r="F172" s="161"/>
      <c r="G172" s="161"/>
      <c r="H172" s="161"/>
      <c r="I172" s="161"/>
      <c r="J172" s="161"/>
      <c r="K172" s="161"/>
      <c r="L172" s="161"/>
      <c r="M172" s="161"/>
      <c r="N172" s="255"/>
    </row>
    <row r="173" spans="1:14" s="10" customFormat="1" ht="15" customHeight="1" outlineLevel="1">
      <c r="A173" s="247"/>
      <c r="B173" s="36" t="s">
        <v>226</v>
      </c>
      <c r="C173" s="161"/>
      <c r="D173" s="161"/>
      <c r="E173" s="118">
        <f>1-E172</f>
        <v>0.9</v>
      </c>
      <c r="F173" s="161"/>
      <c r="G173" s="161"/>
      <c r="H173" s="161"/>
      <c r="I173" s="161"/>
      <c r="J173" s="161"/>
      <c r="K173" s="161"/>
      <c r="L173" s="161"/>
      <c r="M173" s="161"/>
      <c r="N173" s="255"/>
    </row>
    <row r="174" spans="1:14" s="10" customFormat="1" ht="15" customHeight="1" outlineLevel="1">
      <c r="A174" s="247"/>
      <c r="B174" s="36" t="s">
        <v>133</v>
      </c>
      <c r="C174" s="161"/>
      <c r="D174" s="161"/>
      <c r="E174" s="132">
        <v>0.06</v>
      </c>
      <c r="F174" s="161"/>
      <c r="G174" s="161"/>
      <c r="H174" s="161"/>
      <c r="I174" s="161"/>
      <c r="J174" s="161"/>
      <c r="K174" s="161"/>
      <c r="L174" s="161"/>
      <c r="M174" s="161"/>
      <c r="N174" s="255"/>
    </row>
    <row r="175" spans="1:14" s="10" customFormat="1" ht="15" customHeight="1" outlineLevel="1">
      <c r="A175" s="247"/>
      <c r="B175" s="36" t="s">
        <v>15</v>
      </c>
      <c r="C175" s="161"/>
      <c r="D175" s="161"/>
      <c r="E175" s="132">
        <v>0.21</v>
      </c>
      <c r="F175" s="161"/>
      <c r="G175" s="161"/>
      <c r="H175" s="161"/>
      <c r="I175" s="161"/>
      <c r="J175" s="161"/>
      <c r="K175" s="161"/>
      <c r="L175" s="161"/>
      <c r="M175" s="161"/>
      <c r="N175" s="255"/>
    </row>
    <row r="176" spans="1:14" s="10" customFormat="1" ht="15" customHeight="1" outlineLevel="1">
      <c r="A176" s="247"/>
      <c r="B176" s="36" t="s">
        <v>147</v>
      </c>
      <c r="C176" s="161"/>
      <c r="D176" s="161"/>
      <c r="E176" s="118">
        <f>+E174*(1-E175)</f>
        <v>4.7399999999999998E-2</v>
      </c>
      <c r="F176" s="161"/>
      <c r="G176" s="161"/>
      <c r="H176" s="161"/>
      <c r="I176" s="161"/>
      <c r="J176" s="161"/>
      <c r="K176" s="161"/>
      <c r="L176" s="161"/>
      <c r="M176" s="161"/>
      <c r="N176" s="255"/>
    </row>
    <row r="177" spans="1:15" s="10" customFormat="1" ht="15" customHeight="1" outlineLevel="1">
      <c r="A177" s="247"/>
      <c r="B177" s="36" t="s">
        <v>81</v>
      </c>
      <c r="C177" s="161"/>
      <c r="D177" s="161"/>
      <c r="E177" s="118">
        <f>+E167</f>
        <v>0.12</v>
      </c>
      <c r="F177" s="161"/>
      <c r="G177" s="161"/>
      <c r="H177" s="161"/>
      <c r="I177" s="161"/>
      <c r="J177" s="161"/>
      <c r="K177" s="161"/>
      <c r="L177" s="161"/>
      <c r="M177" s="161"/>
      <c r="N177" s="255"/>
    </row>
    <row r="178" spans="1:15" s="10" customFormat="1" ht="15" customHeight="1" outlineLevel="1">
      <c r="A178" s="247"/>
      <c r="B178" s="52" t="s">
        <v>66</v>
      </c>
      <c r="C178" s="13"/>
      <c r="D178" s="13"/>
      <c r="E178" s="117">
        <f>+(E173*E177)+(E176*E172)</f>
        <v>0.11273999999999999</v>
      </c>
      <c r="F178" s="161"/>
      <c r="G178" s="161"/>
      <c r="H178" s="161"/>
      <c r="I178" s="161"/>
      <c r="J178" s="161"/>
      <c r="K178" s="161"/>
      <c r="L178" s="161"/>
      <c r="M178" s="161"/>
      <c r="N178" s="255"/>
    </row>
    <row r="179" spans="1:15" s="10" customFormat="1" ht="15" customHeight="1" outlineLevel="1">
      <c r="A179" s="247"/>
      <c r="B179" s="188"/>
      <c r="C179" s="213"/>
      <c r="D179" s="161"/>
      <c r="E179" s="161"/>
      <c r="F179" s="161"/>
      <c r="G179" s="161"/>
      <c r="H179" s="161"/>
      <c r="I179" s="161"/>
      <c r="J179" s="161"/>
      <c r="K179" s="161"/>
      <c r="L179" s="161"/>
      <c r="M179" s="161"/>
      <c r="N179" s="255"/>
    </row>
    <row r="180" spans="1:15" s="10" customFormat="1" ht="15" customHeight="1" outlineLevel="1">
      <c r="A180" s="247"/>
      <c r="B180" s="75"/>
      <c r="C180" s="76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255"/>
    </row>
    <row r="181" spans="1:15" s="10" customFormat="1" ht="15" customHeight="1">
      <c r="A181" s="247"/>
      <c r="B181" s="211"/>
      <c r="C181" s="161"/>
      <c r="D181" s="161"/>
      <c r="E181" s="161"/>
      <c r="F181" s="161"/>
      <c r="G181" s="161"/>
      <c r="H181" s="161"/>
      <c r="I181" s="161"/>
      <c r="J181" s="161"/>
      <c r="K181" s="161"/>
      <c r="L181" s="161"/>
      <c r="M181" s="161"/>
      <c r="N181" s="255"/>
    </row>
    <row r="182" spans="1:15" s="10" customFormat="1" ht="15" customHeight="1">
      <c r="A182" s="246" t="s">
        <v>21</v>
      </c>
      <c r="B182" s="407" t="s">
        <v>144</v>
      </c>
      <c r="C182" s="407"/>
      <c r="D182" s="407"/>
      <c r="E182" s="407"/>
      <c r="F182" s="409"/>
      <c r="G182" s="409"/>
      <c r="H182" s="409"/>
      <c r="I182" s="410"/>
      <c r="J182" s="411"/>
      <c r="K182" s="411"/>
      <c r="L182" s="411"/>
      <c r="M182" s="411"/>
      <c r="N182" s="412"/>
    </row>
    <row r="183" spans="1:15" s="10" customFormat="1" ht="15" customHeight="1" outlineLevel="1">
      <c r="A183" s="246"/>
      <c r="B183" s="211"/>
      <c r="C183" s="161"/>
      <c r="D183" s="161"/>
      <c r="E183" s="161"/>
      <c r="F183" s="161"/>
      <c r="G183" s="161"/>
      <c r="H183" s="161"/>
      <c r="I183" s="161"/>
      <c r="J183" s="161"/>
      <c r="K183" s="161"/>
      <c r="L183" s="161"/>
      <c r="M183" s="161"/>
      <c r="N183" s="255"/>
    </row>
    <row r="184" spans="1:15" s="10" customFormat="1" ht="15" customHeight="1" outlineLevel="1">
      <c r="A184" s="246"/>
      <c r="B184" s="8" t="s">
        <v>66</v>
      </c>
      <c r="C184" s="55">
        <f>+$E$178</f>
        <v>0.11273999999999999</v>
      </c>
      <c r="D184" s="161"/>
      <c r="E184" s="161"/>
      <c r="F184" s="161"/>
      <c r="G184" s="161"/>
      <c r="H184" s="161"/>
      <c r="I184" s="161"/>
      <c r="J184" s="161"/>
      <c r="K184" s="161"/>
      <c r="L184" s="161"/>
      <c r="M184" s="161"/>
      <c r="N184" s="255"/>
    </row>
    <row r="185" spans="1:15" s="10" customFormat="1" ht="15" customHeight="1" outlineLevel="1">
      <c r="A185" s="246"/>
      <c r="B185" s="9" t="s">
        <v>62</v>
      </c>
      <c r="C185" s="133">
        <v>0.02</v>
      </c>
      <c r="D185" s="161"/>
      <c r="E185" s="161"/>
      <c r="F185" s="161"/>
      <c r="G185" s="161"/>
      <c r="H185" s="161"/>
      <c r="I185" s="161"/>
      <c r="J185" s="161"/>
      <c r="K185" s="161"/>
      <c r="L185" s="161"/>
      <c r="M185" s="161"/>
      <c r="N185" s="255"/>
    </row>
    <row r="186" spans="1:15" s="10" customFormat="1" ht="15" customHeight="1" outlineLevel="1">
      <c r="A186" s="246"/>
      <c r="B186" s="211"/>
      <c r="C186" s="161"/>
      <c r="D186" s="161"/>
      <c r="E186" s="161"/>
      <c r="F186" s="161"/>
      <c r="G186" s="161"/>
      <c r="H186" s="161"/>
      <c r="I186" s="161"/>
      <c r="J186" s="161"/>
      <c r="K186" s="161"/>
      <c r="L186" s="161"/>
      <c r="M186" s="161"/>
      <c r="N186" s="255"/>
    </row>
    <row r="187" spans="1:15" s="10" customFormat="1" ht="15" customHeight="1" outlineLevel="1">
      <c r="A187" s="247"/>
      <c r="B187" s="159" t="s">
        <v>5</v>
      </c>
      <c r="C187" s="161"/>
      <c r="D187" s="161"/>
      <c r="E187" s="161"/>
      <c r="F187" s="161"/>
      <c r="G187" s="161"/>
      <c r="H187" s="161"/>
      <c r="I187" s="161"/>
      <c r="J187" s="161"/>
      <c r="K187" s="161"/>
      <c r="L187" s="161"/>
      <c r="M187" s="161"/>
      <c r="N187" s="255"/>
    </row>
    <row r="188" spans="1:15" s="10" customFormat="1" ht="15" customHeight="1" outlineLevel="1" thickBot="1">
      <c r="A188" s="247"/>
      <c r="B188" s="161"/>
      <c r="C188" s="35"/>
      <c r="D188" s="161"/>
      <c r="E188" s="161"/>
      <c r="F188" s="161"/>
      <c r="G188" s="161"/>
      <c r="H188" s="161"/>
      <c r="I188" s="25">
        <f t="shared" ref="I188:M188" si="53">I$5</f>
        <v>2023</v>
      </c>
      <c r="J188" s="25">
        <f t="shared" si="53"/>
        <v>2024</v>
      </c>
      <c r="K188" s="25">
        <f t="shared" si="53"/>
        <v>2025</v>
      </c>
      <c r="L188" s="25">
        <f t="shared" si="53"/>
        <v>2026</v>
      </c>
      <c r="M188" s="25">
        <f t="shared" si="53"/>
        <v>2027</v>
      </c>
      <c r="N188" s="255"/>
    </row>
    <row r="189" spans="1:15" s="10" customFormat="1" ht="15" customHeight="1" outlineLevel="1">
      <c r="A189" s="247"/>
      <c r="B189" s="200" t="s">
        <v>63</v>
      </c>
      <c r="C189" s="35"/>
      <c r="D189" s="161"/>
      <c r="E189" s="161"/>
      <c r="F189" s="161"/>
      <c r="G189" s="161"/>
      <c r="H189" s="161"/>
      <c r="I189" s="214">
        <f>I141</f>
        <v>9987.4023761080061</v>
      </c>
      <c r="J189" s="214">
        <f>J141</f>
        <v>10594.313323367773</v>
      </c>
      <c r="K189" s="214">
        <f>K141</f>
        <v>10711.481600168969</v>
      </c>
      <c r="L189" s="214">
        <f>L141</f>
        <v>11077.003088518966</v>
      </c>
      <c r="M189" s="214">
        <f>M141</f>
        <v>10761.417341996996</v>
      </c>
      <c r="N189" s="255"/>
    </row>
    <row r="190" spans="1:15" s="10" customFormat="1" ht="15" customHeight="1" outlineLevel="1">
      <c r="A190" s="247"/>
      <c r="B190" s="200" t="s">
        <v>148</v>
      </c>
      <c r="C190" s="35"/>
      <c r="D190" s="161"/>
      <c r="E190" s="161"/>
      <c r="F190" s="161"/>
      <c r="G190" s="161"/>
      <c r="H190" s="161"/>
      <c r="I190" s="214"/>
      <c r="J190" s="214"/>
      <c r="K190" s="214"/>
      <c r="L190" s="214"/>
      <c r="M190" s="214">
        <f>M189*(1+C185)</f>
        <v>10976.645688836936</v>
      </c>
      <c r="N190" s="255"/>
    </row>
    <row r="191" spans="1:15" s="10" customFormat="1" ht="15" customHeight="1" outlineLevel="1">
      <c r="A191" s="247"/>
      <c r="B191" s="165" t="s">
        <v>149</v>
      </c>
      <c r="C191" s="35"/>
      <c r="D191" s="161"/>
      <c r="E191" s="161"/>
      <c r="F191" s="161"/>
      <c r="G191" s="161"/>
      <c r="H191" s="161"/>
      <c r="I191" s="198"/>
      <c r="J191" s="196"/>
      <c r="K191" s="196"/>
      <c r="L191" s="196"/>
      <c r="M191" s="215">
        <f>M190/(C184-C185)</f>
        <v>118359.34536162321</v>
      </c>
      <c r="N191" s="255"/>
      <c r="O191" s="30"/>
    </row>
    <row r="192" spans="1:15" s="10" customFormat="1" ht="15" customHeight="1" outlineLevel="1">
      <c r="A192" s="247"/>
      <c r="B192" s="80"/>
      <c r="C192" s="81"/>
      <c r="D192" s="13"/>
      <c r="E192" s="13"/>
      <c r="F192" s="13"/>
      <c r="G192" s="13"/>
      <c r="H192" s="13"/>
      <c r="I192" s="82"/>
      <c r="J192" s="72"/>
      <c r="K192" s="72"/>
      <c r="L192" s="72"/>
      <c r="M192" s="4"/>
      <c r="N192" s="255"/>
      <c r="O192" s="30"/>
    </row>
    <row r="193" spans="1:15" s="10" customFormat="1" ht="15" customHeight="1">
      <c r="A193" s="246"/>
      <c r="B193" s="156"/>
      <c r="C193" s="149"/>
      <c r="D193" s="208"/>
      <c r="E193" s="208"/>
      <c r="F193" s="158"/>
      <c r="G193" s="158"/>
      <c r="H193" s="158"/>
      <c r="I193" s="209"/>
      <c r="J193" s="210"/>
      <c r="K193" s="210"/>
      <c r="L193" s="210"/>
      <c r="M193" s="210"/>
      <c r="N193" s="255"/>
    </row>
    <row r="194" spans="1:15" s="10" customFormat="1" ht="15" customHeight="1">
      <c r="A194" s="246" t="s">
        <v>21</v>
      </c>
      <c r="B194" s="407" t="s">
        <v>154</v>
      </c>
      <c r="C194" s="407"/>
      <c r="D194" s="407"/>
      <c r="E194" s="407"/>
      <c r="F194" s="409"/>
      <c r="G194" s="409"/>
      <c r="H194" s="409"/>
      <c r="I194" s="410"/>
      <c r="J194" s="411"/>
      <c r="K194" s="411"/>
      <c r="L194" s="411"/>
      <c r="M194" s="411"/>
      <c r="N194" s="412"/>
    </row>
    <row r="195" spans="1:15" s="10" customFormat="1" ht="15" customHeight="1" outlineLevel="1">
      <c r="A195" s="247"/>
      <c r="B195" s="193"/>
      <c r="C195" s="161"/>
      <c r="D195" s="161"/>
      <c r="E195" s="161"/>
      <c r="F195" s="161"/>
      <c r="G195" s="161"/>
      <c r="H195" s="161"/>
      <c r="I195" s="195"/>
      <c r="J195" s="195"/>
      <c r="K195" s="195"/>
      <c r="L195" s="195"/>
      <c r="M195" s="195"/>
      <c r="N195" s="255"/>
    </row>
    <row r="196" spans="1:15" s="10" customFormat="1" ht="15" customHeight="1" outlineLevel="1">
      <c r="A196" s="247"/>
      <c r="B196" s="8" t="s">
        <v>66</v>
      </c>
      <c r="C196" s="55">
        <f>+$E$178</f>
        <v>0.11273999999999999</v>
      </c>
      <c r="D196" s="161"/>
      <c r="E196" s="161"/>
      <c r="F196" s="161"/>
      <c r="G196" s="161"/>
      <c r="H196" s="161"/>
      <c r="I196" s="195"/>
      <c r="J196" s="195"/>
      <c r="K196" s="195"/>
      <c r="L196" s="195"/>
      <c r="M196" s="195"/>
      <c r="N196" s="255"/>
    </row>
    <row r="197" spans="1:15" s="10" customFormat="1" ht="15" customHeight="1" outlineLevel="1">
      <c r="A197" s="247"/>
      <c r="B197" s="9" t="s">
        <v>65</v>
      </c>
      <c r="C197" s="134">
        <v>7.2371121197988533</v>
      </c>
      <c r="D197" s="161"/>
      <c r="E197" s="161"/>
      <c r="F197" s="161"/>
      <c r="G197" s="161"/>
      <c r="H197" s="161"/>
      <c r="I197" s="161"/>
      <c r="J197" s="161"/>
      <c r="K197" s="161"/>
      <c r="L197" s="161"/>
      <c r="M197" s="161"/>
      <c r="N197" s="255"/>
    </row>
    <row r="198" spans="1:15" s="10" customFormat="1" ht="15" customHeight="1" outlineLevel="1">
      <c r="A198" s="247"/>
      <c r="B198" s="216"/>
      <c r="C198" s="135"/>
      <c r="D198" s="161"/>
      <c r="E198" s="161"/>
      <c r="F198" s="161"/>
      <c r="G198" s="161"/>
      <c r="H198" s="161"/>
      <c r="I198" s="161"/>
      <c r="J198" s="161"/>
      <c r="K198" s="161"/>
      <c r="L198" s="161"/>
      <c r="M198" s="161"/>
      <c r="N198" s="255"/>
    </row>
    <row r="199" spans="1:15" s="10" customFormat="1" ht="15" customHeight="1" outlineLevel="1">
      <c r="A199" s="247"/>
      <c r="B199" s="159" t="s">
        <v>5</v>
      </c>
      <c r="C199" s="53"/>
      <c r="D199" s="161"/>
      <c r="E199" s="161"/>
      <c r="F199" s="161"/>
      <c r="G199" s="161"/>
      <c r="H199" s="161"/>
      <c r="I199" s="161"/>
      <c r="J199" s="161"/>
      <c r="K199" s="161"/>
      <c r="L199" s="161"/>
      <c r="M199" s="161"/>
      <c r="N199" s="255"/>
    </row>
    <row r="200" spans="1:15" s="10" customFormat="1" ht="15" customHeight="1" outlineLevel="1" thickBot="1">
      <c r="A200" s="247"/>
      <c r="B200" s="161"/>
      <c r="C200" s="35"/>
      <c r="D200" s="161"/>
      <c r="E200" s="161"/>
      <c r="F200" s="161"/>
      <c r="G200" s="161"/>
      <c r="H200" s="161"/>
      <c r="I200" s="25">
        <f t="shared" ref="I200:M200" si="54">I$5</f>
        <v>2023</v>
      </c>
      <c r="J200" s="25">
        <f t="shared" si="54"/>
        <v>2024</v>
      </c>
      <c r="K200" s="25">
        <f t="shared" si="54"/>
        <v>2025</v>
      </c>
      <c r="L200" s="25">
        <f t="shared" si="54"/>
        <v>2026</v>
      </c>
      <c r="M200" s="25">
        <f t="shared" si="54"/>
        <v>2027</v>
      </c>
      <c r="N200" s="255"/>
    </row>
    <row r="201" spans="1:15" s="10" customFormat="1" ht="15" customHeight="1" outlineLevel="1">
      <c r="A201" s="247"/>
      <c r="B201" s="200" t="s">
        <v>63</v>
      </c>
      <c r="C201" s="56"/>
      <c r="D201" s="196"/>
      <c r="E201" s="196"/>
      <c r="F201" s="196"/>
      <c r="G201" s="196"/>
      <c r="H201" s="196"/>
      <c r="I201" s="214">
        <f>I189</f>
        <v>9987.4023761080061</v>
      </c>
      <c r="J201" s="214">
        <f t="shared" ref="J201:M201" si="55">J189</f>
        <v>10594.313323367773</v>
      </c>
      <c r="K201" s="214">
        <f t="shared" si="55"/>
        <v>10711.481600168969</v>
      </c>
      <c r="L201" s="214">
        <f t="shared" si="55"/>
        <v>11077.003088518966</v>
      </c>
      <c r="M201" s="214">
        <f t="shared" si="55"/>
        <v>10761.417341996996</v>
      </c>
      <c r="N201" s="255"/>
    </row>
    <row r="202" spans="1:15" s="10" customFormat="1" ht="15" customHeight="1" outlineLevel="1">
      <c r="A202" s="247"/>
      <c r="B202" s="200" t="s">
        <v>10</v>
      </c>
      <c r="C202" s="56"/>
      <c r="D202" s="196"/>
      <c r="E202" s="196"/>
      <c r="F202" s="196"/>
      <c r="G202" s="196"/>
      <c r="H202" s="196"/>
      <c r="I202" s="198"/>
      <c r="J202" s="198"/>
      <c r="K202" s="198"/>
      <c r="L202" s="198"/>
      <c r="M202" s="214">
        <f>$M$123</f>
        <v>21908.647261726932</v>
      </c>
      <c r="N202" s="255"/>
    </row>
    <row r="203" spans="1:15" s="10" customFormat="1" ht="15" customHeight="1" outlineLevel="1">
      <c r="A203" s="247"/>
      <c r="B203" s="165" t="s">
        <v>137</v>
      </c>
      <c r="C203" s="56"/>
      <c r="D203" s="196"/>
      <c r="E203" s="196"/>
      <c r="F203" s="196"/>
      <c r="G203" s="196"/>
      <c r="H203" s="196"/>
      <c r="I203" s="198"/>
      <c r="J203" s="196"/>
      <c r="K203" s="196"/>
      <c r="L203" s="196"/>
      <c r="M203" s="215">
        <f>M202*C197</f>
        <v>158555.33662624194</v>
      </c>
      <c r="N203" s="255"/>
      <c r="O203" s="30"/>
    </row>
    <row r="204" spans="1:15" s="10" customFormat="1" ht="15" customHeight="1" outlineLevel="1">
      <c r="A204" s="247"/>
      <c r="B204" s="193"/>
      <c r="C204" s="161"/>
      <c r="D204" s="161"/>
      <c r="E204" s="161"/>
      <c r="F204" s="161"/>
      <c r="G204" s="161"/>
      <c r="H204" s="161"/>
      <c r="I204" s="195"/>
      <c r="J204" s="195"/>
      <c r="K204" s="195"/>
      <c r="L204" s="195"/>
      <c r="M204" s="195"/>
      <c r="N204" s="255"/>
    </row>
    <row r="205" spans="1:15" s="10" customFormat="1" ht="15" customHeight="1" outlineLevel="1">
      <c r="A205" s="247"/>
      <c r="B205" s="77"/>
      <c r="C205" s="13"/>
      <c r="D205" s="13"/>
      <c r="E205" s="13"/>
      <c r="F205" s="13"/>
      <c r="G205" s="13"/>
      <c r="H205" s="13"/>
      <c r="I205" s="78"/>
      <c r="J205" s="78"/>
      <c r="K205" s="78"/>
      <c r="L205" s="78"/>
      <c r="M205" s="78"/>
      <c r="N205" s="255"/>
    </row>
    <row r="206" spans="1:15" s="10" customFormat="1" ht="15" customHeight="1">
      <c r="A206" s="247"/>
      <c r="B206" s="193"/>
      <c r="C206" s="161"/>
      <c r="D206" s="161"/>
      <c r="E206" s="161"/>
      <c r="F206" s="161"/>
      <c r="G206" s="161"/>
      <c r="H206" s="161"/>
      <c r="I206" s="195"/>
      <c r="J206" s="195"/>
      <c r="K206" s="195"/>
      <c r="L206" s="195"/>
      <c r="M206" s="195"/>
      <c r="N206" s="255"/>
    </row>
    <row r="207" spans="1:15" s="10" customFormat="1" ht="15" customHeight="1">
      <c r="A207" s="246" t="s">
        <v>21</v>
      </c>
      <c r="B207" s="407" t="s">
        <v>155</v>
      </c>
      <c r="C207" s="407"/>
      <c r="D207" s="407"/>
      <c r="E207" s="407"/>
      <c r="F207" s="409"/>
      <c r="G207" s="409"/>
      <c r="H207" s="409"/>
      <c r="I207" s="410"/>
      <c r="J207" s="411"/>
      <c r="K207" s="411"/>
      <c r="L207" s="411"/>
      <c r="M207" s="411"/>
      <c r="N207" s="412"/>
    </row>
    <row r="208" spans="1:15" s="10" customFormat="1" ht="15" customHeight="1" outlineLevel="1">
      <c r="A208" s="247"/>
      <c r="B208" s="161"/>
      <c r="C208" s="161"/>
      <c r="D208" s="161"/>
      <c r="E208" s="161"/>
      <c r="F208" s="161"/>
      <c r="G208" s="161"/>
      <c r="H208" s="161"/>
      <c r="I208" s="195"/>
      <c r="J208" s="195"/>
      <c r="K208" s="195"/>
      <c r="L208" s="195"/>
      <c r="M208" s="195"/>
      <c r="N208" s="255"/>
    </row>
    <row r="209" spans="1:14" s="10" customFormat="1" ht="15" customHeight="1" outlineLevel="1">
      <c r="A209" s="247"/>
      <c r="B209" s="159" t="s">
        <v>5</v>
      </c>
      <c r="C209" s="161"/>
      <c r="D209" s="161"/>
      <c r="E209" s="161"/>
      <c r="F209" s="161"/>
      <c r="G209" s="161"/>
      <c r="H209" s="161"/>
      <c r="I209" s="195"/>
      <c r="J209" s="195"/>
      <c r="K209" s="195"/>
      <c r="L209" s="195"/>
      <c r="M209" s="195"/>
      <c r="N209" s="255"/>
    </row>
    <row r="210" spans="1:14" s="10" customFormat="1" ht="15" customHeight="1" outlineLevel="1" thickBot="1">
      <c r="A210" s="247"/>
      <c r="B210" s="193"/>
      <c r="C210" s="161"/>
      <c r="D210" s="161"/>
      <c r="E210" s="161"/>
      <c r="F210" s="161"/>
      <c r="G210" s="161"/>
      <c r="H210" s="24">
        <f t="shared" ref="H210:M210" si="56">H$5</f>
        <v>2022</v>
      </c>
      <c r="I210" s="25">
        <f t="shared" si="56"/>
        <v>2023</v>
      </c>
      <c r="J210" s="25">
        <f t="shared" si="56"/>
        <v>2024</v>
      </c>
      <c r="K210" s="25">
        <f t="shared" si="56"/>
        <v>2025</v>
      </c>
      <c r="L210" s="25">
        <f t="shared" si="56"/>
        <v>2026</v>
      </c>
      <c r="M210" s="25">
        <f t="shared" si="56"/>
        <v>2027</v>
      </c>
      <c r="N210" s="255"/>
    </row>
    <row r="211" spans="1:14" s="10" customFormat="1" ht="15" customHeight="1" outlineLevel="1">
      <c r="A211" s="247"/>
      <c r="B211" s="200" t="s">
        <v>136</v>
      </c>
      <c r="C211" s="196"/>
      <c r="D211" s="196"/>
      <c r="E211" s="196"/>
      <c r="F211" s="196"/>
      <c r="G211" s="196"/>
      <c r="H211" s="196"/>
      <c r="I211" s="199"/>
      <c r="J211" s="199"/>
      <c r="K211" s="199"/>
      <c r="L211" s="199"/>
      <c r="M211" s="201">
        <f>+M$191</f>
        <v>118359.34536162321</v>
      </c>
      <c r="N211" s="255"/>
    </row>
    <row r="212" spans="1:14" s="10" customFormat="1" ht="15" customHeight="1" outlineLevel="1">
      <c r="A212" s="247"/>
      <c r="B212" s="200" t="s">
        <v>137</v>
      </c>
      <c r="C212" s="196"/>
      <c r="D212" s="196"/>
      <c r="E212" s="196"/>
      <c r="F212" s="196"/>
      <c r="G212" s="196"/>
      <c r="H212" s="196"/>
      <c r="I212" s="199"/>
      <c r="J212" s="199"/>
      <c r="K212" s="199"/>
      <c r="L212" s="199"/>
      <c r="M212" s="201">
        <f>+$M203</f>
        <v>158555.33662624194</v>
      </c>
      <c r="N212" s="255"/>
    </row>
    <row r="213" spans="1:14" s="34" customFormat="1" ht="15" customHeight="1" outlineLevel="1">
      <c r="A213" s="250"/>
      <c r="B213" s="217" t="s">
        <v>94</v>
      </c>
      <c r="C213" s="197"/>
      <c r="D213" s="197"/>
      <c r="E213" s="197"/>
      <c r="F213" s="197"/>
      <c r="G213" s="197"/>
      <c r="H213" s="197"/>
      <c r="I213" s="218"/>
      <c r="J213" s="218"/>
      <c r="K213" s="218"/>
      <c r="L213" s="218"/>
      <c r="M213" s="119">
        <f>+AVERAGE(M211:M212)</f>
        <v>138457.34099393256</v>
      </c>
      <c r="N213" s="259"/>
    </row>
    <row r="214" spans="1:14" s="10" customFormat="1" ht="15" customHeight="1" outlineLevel="1">
      <c r="A214" s="247"/>
      <c r="B214" s="200"/>
      <c r="C214" s="196"/>
      <c r="D214" s="196"/>
      <c r="E214" s="196"/>
      <c r="F214" s="196"/>
      <c r="G214" s="196"/>
      <c r="H214" s="196"/>
      <c r="I214" s="199"/>
      <c r="J214" s="199"/>
      <c r="K214" s="199"/>
      <c r="L214" s="199"/>
      <c r="M214" s="199"/>
      <c r="N214" s="255"/>
    </row>
    <row r="215" spans="1:14" s="10" customFormat="1" ht="15" customHeight="1" outlineLevel="1">
      <c r="A215" s="247"/>
      <c r="B215" s="200"/>
      <c r="C215" s="196"/>
      <c r="D215" s="196"/>
      <c r="E215" s="196"/>
      <c r="F215" s="196"/>
      <c r="G215" s="196"/>
      <c r="H215" s="196"/>
      <c r="I215" s="199"/>
      <c r="J215" s="199"/>
      <c r="K215" s="199"/>
      <c r="L215" s="199"/>
      <c r="M215" s="199"/>
      <c r="N215" s="255"/>
    </row>
    <row r="216" spans="1:14" s="10" customFormat="1" ht="15" customHeight="1" outlineLevel="1">
      <c r="A216" s="247"/>
      <c r="B216" s="200" t="s">
        <v>63</v>
      </c>
      <c r="C216" s="196"/>
      <c r="D216" s="196"/>
      <c r="E216" s="196"/>
      <c r="F216" s="196"/>
      <c r="G216" s="196"/>
      <c r="H216" s="196"/>
      <c r="I216" s="214">
        <f>I201</f>
        <v>9987.4023761080061</v>
      </c>
      <c r="J216" s="214">
        <f t="shared" ref="J216:M216" si="57">J201</f>
        <v>10594.313323367773</v>
      </c>
      <c r="K216" s="214">
        <f t="shared" si="57"/>
        <v>10711.481600168969</v>
      </c>
      <c r="L216" s="214">
        <f t="shared" si="57"/>
        <v>11077.003088518966</v>
      </c>
      <c r="M216" s="214">
        <f t="shared" si="57"/>
        <v>10761.417341996996</v>
      </c>
      <c r="N216" s="255"/>
    </row>
    <row r="217" spans="1:14" s="10" customFormat="1" ht="15" customHeight="1" outlineLevel="1">
      <c r="A217" s="247"/>
      <c r="B217" s="200" t="s">
        <v>64</v>
      </c>
      <c r="C217" s="196"/>
      <c r="D217" s="196"/>
      <c r="E217" s="196"/>
      <c r="F217" s="196"/>
      <c r="G217" s="196"/>
      <c r="H217" s="196"/>
      <c r="I217" s="199"/>
      <c r="J217" s="199"/>
      <c r="K217" s="199"/>
      <c r="L217" s="199"/>
      <c r="M217" s="201">
        <f>+M$213</f>
        <v>138457.34099393256</v>
      </c>
      <c r="N217" s="255"/>
    </row>
    <row r="218" spans="1:14" s="10" customFormat="1" ht="15" customHeight="1" outlineLevel="1">
      <c r="A218" s="247"/>
      <c r="B218" s="200" t="s">
        <v>150</v>
      </c>
      <c r="C218" s="196"/>
      <c r="D218" s="196"/>
      <c r="E218" s="196"/>
      <c r="F218" s="196"/>
      <c r="G218" s="196"/>
      <c r="H218" s="196"/>
      <c r="I218" s="120">
        <f>SUM(I216:I217)</f>
        <v>9987.4023761080061</v>
      </c>
      <c r="J218" s="120">
        <f t="shared" ref="J218:M218" si="58">SUM(J216:J217)</f>
        <v>10594.313323367773</v>
      </c>
      <c r="K218" s="120">
        <f t="shared" si="58"/>
        <v>10711.481600168969</v>
      </c>
      <c r="L218" s="120">
        <f t="shared" si="58"/>
        <v>11077.003088518966</v>
      </c>
      <c r="M218" s="120">
        <f t="shared" si="58"/>
        <v>149218.75833592957</v>
      </c>
      <c r="N218" s="255"/>
    </row>
    <row r="219" spans="1:14" s="10" customFormat="1" ht="15" customHeight="1" outlineLevel="1">
      <c r="A219" s="247"/>
      <c r="B219" s="200"/>
      <c r="C219" s="196"/>
      <c r="D219" s="196"/>
      <c r="E219" s="196"/>
      <c r="F219" s="196"/>
      <c r="G219" s="196"/>
      <c r="H219" s="196"/>
      <c r="I219" s="199"/>
      <c r="J219" s="199"/>
      <c r="K219" s="199"/>
      <c r="L219" s="199"/>
      <c r="M219" s="199"/>
      <c r="N219" s="255"/>
    </row>
    <row r="220" spans="1:14" s="10" customFormat="1" ht="15" customHeight="1" outlineLevel="1">
      <c r="A220" s="247"/>
      <c r="B220" s="57" t="s">
        <v>66</v>
      </c>
      <c r="C220" s="58">
        <f>+$E$178</f>
        <v>0.11273999999999999</v>
      </c>
      <c r="D220" s="196"/>
      <c r="E220" s="196"/>
      <c r="F220" s="196"/>
      <c r="G220" s="196"/>
      <c r="H220" s="196"/>
      <c r="I220" s="199"/>
      <c r="J220" s="199"/>
      <c r="K220" s="199"/>
      <c r="L220" s="199"/>
      <c r="M220" s="199"/>
      <c r="N220" s="255"/>
    </row>
    <row r="221" spans="1:14" s="10" customFormat="1" ht="15" customHeight="1" outlineLevel="1">
      <c r="A221" s="247"/>
      <c r="B221" s="200"/>
      <c r="C221" s="219"/>
      <c r="D221" s="196"/>
      <c r="E221" s="196"/>
      <c r="F221" s="196"/>
      <c r="G221" s="196"/>
      <c r="H221" s="196"/>
      <c r="I221" s="199"/>
      <c r="J221" s="199"/>
      <c r="K221" s="199"/>
      <c r="L221" s="199"/>
      <c r="M221" s="199"/>
      <c r="N221" s="255"/>
    </row>
    <row r="222" spans="1:14" s="10" customFormat="1" ht="15" customHeight="1" outlineLevel="1">
      <c r="A222" s="247"/>
      <c r="B222" s="200" t="s">
        <v>73</v>
      </c>
      <c r="C222" s="196"/>
      <c r="D222" s="196"/>
      <c r="E222" s="196"/>
      <c r="F222" s="196"/>
      <c r="G222" s="196"/>
      <c r="H222" s="196"/>
      <c r="I222" s="121">
        <f>+I210-$H$210</f>
        <v>1</v>
      </c>
      <c r="J222" s="121">
        <f t="shared" ref="J222:M222" si="59">+J210-$H$210</f>
        <v>2</v>
      </c>
      <c r="K222" s="121">
        <f t="shared" si="59"/>
        <v>3</v>
      </c>
      <c r="L222" s="121">
        <f t="shared" si="59"/>
        <v>4</v>
      </c>
      <c r="M222" s="121">
        <f t="shared" si="59"/>
        <v>5</v>
      </c>
      <c r="N222" s="255"/>
    </row>
    <row r="223" spans="1:14" s="10" customFormat="1" ht="15" customHeight="1" outlineLevel="1">
      <c r="A223" s="247"/>
      <c r="B223" s="200" t="s">
        <v>151</v>
      </c>
      <c r="C223" s="196"/>
      <c r="D223" s="196"/>
      <c r="E223" s="196"/>
      <c r="F223" s="196"/>
      <c r="G223" s="196"/>
      <c r="H223" s="196"/>
      <c r="I223" s="201">
        <f>I218/(1+$C$220)^I222</f>
        <v>8975.5040495605499</v>
      </c>
      <c r="J223" s="201">
        <f>J218/(1+$C$220)^J222</f>
        <v>8556.288365641356</v>
      </c>
      <c r="K223" s="201">
        <f>K218/(1+$C$220)^K222</f>
        <v>7774.428002298705</v>
      </c>
      <c r="L223" s="201">
        <f>L218/(1+$C$220)^L222</f>
        <v>7225.1601283178506</v>
      </c>
      <c r="M223" s="201">
        <f>M218/(1+$C$220)^M222</f>
        <v>87469.153111048203</v>
      </c>
      <c r="N223" s="255"/>
    </row>
    <row r="224" spans="1:14" s="10" customFormat="1" ht="15" customHeight="1" outlineLevel="1">
      <c r="A224" s="247"/>
      <c r="B224" s="193"/>
      <c r="C224" s="161"/>
      <c r="D224" s="161"/>
      <c r="E224" s="161"/>
      <c r="F224" s="161"/>
      <c r="G224" s="161"/>
      <c r="H224" s="161"/>
      <c r="I224" s="195"/>
      <c r="J224" s="195"/>
      <c r="K224" s="195"/>
      <c r="L224" s="195"/>
      <c r="M224" s="195"/>
      <c r="N224" s="255"/>
    </row>
    <row r="225" spans="1:14" s="10" customFormat="1" ht="15" customHeight="1" outlineLevel="1">
      <c r="A225" s="247"/>
      <c r="B225" s="211" t="s">
        <v>214</v>
      </c>
      <c r="C225" s="175"/>
      <c r="D225" s="161"/>
      <c r="E225" s="161"/>
      <c r="F225" s="161"/>
      <c r="G225" s="161"/>
      <c r="H225" s="161"/>
      <c r="I225" s="211" t="s">
        <v>192</v>
      </c>
      <c r="J225" s="161"/>
      <c r="K225" s="161"/>
      <c r="L225" s="161"/>
      <c r="M225" s="195"/>
      <c r="N225" s="255"/>
    </row>
    <row r="226" spans="1:14" s="10" customFormat="1" ht="15" customHeight="1" outlineLevel="1">
      <c r="A226" s="247"/>
      <c r="B226" s="37" t="s">
        <v>67</v>
      </c>
      <c r="C226" s="33"/>
      <c r="D226" s="122">
        <f>+SUM(I223:M223)</f>
        <v>120000.53365686667</v>
      </c>
      <c r="E226" s="161"/>
      <c r="F226" s="161"/>
      <c r="G226" s="161"/>
      <c r="H226" s="161"/>
      <c r="I226" s="90" t="str">
        <f>$M$188&amp;"F UFCF"</f>
        <v>2027F UFCF</v>
      </c>
      <c r="J226" s="33"/>
      <c r="K226" s="33"/>
      <c r="L226" s="33"/>
      <c r="M226" s="106">
        <f>M189</f>
        <v>10761.417341996996</v>
      </c>
      <c r="N226" s="255"/>
    </row>
    <row r="227" spans="1:14" s="10" customFormat="1" ht="15" customHeight="1" outlineLevel="1">
      <c r="A227" s="247"/>
      <c r="B227" s="38" t="s">
        <v>68</v>
      </c>
      <c r="C227" s="161"/>
      <c r="D227" s="123">
        <f>-($H$126-$H$127)</f>
        <v>-14143.000900000001</v>
      </c>
      <c r="E227" s="161"/>
      <c r="F227" s="161"/>
      <c r="G227" s="161"/>
      <c r="H227" s="161"/>
      <c r="I227" s="91" t="s">
        <v>137</v>
      </c>
      <c r="J227" s="161"/>
      <c r="K227" s="161"/>
      <c r="L227" s="161"/>
      <c r="M227" s="107">
        <f>M203</f>
        <v>158555.33662624194</v>
      </c>
      <c r="N227" s="255"/>
    </row>
    <row r="228" spans="1:14" s="10" customFormat="1" ht="15" customHeight="1" outlineLevel="1">
      <c r="A228" s="247"/>
      <c r="B228" s="39" t="s">
        <v>69</v>
      </c>
      <c r="C228" s="13"/>
      <c r="D228" s="123">
        <f>SUM(D226:D227)</f>
        <v>105857.53275686667</v>
      </c>
      <c r="E228" s="161"/>
      <c r="F228" s="161"/>
      <c r="G228" s="161"/>
      <c r="H228" s="161"/>
      <c r="I228" s="93" t="s">
        <v>193</v>
      </c>
      <c r="J228" s="220"/>
      <c r="K228" s="220"/>
      <c r="L228" s="220"/>
      <c r="M228" s="108">
        <f>(M227*C220-M226)/(M226+M227)</f>
        <v>4.2016582189970467E-2</v>
      </c>
      <c r="N228" s="260"/>
    </row>
    <row r="229" spans="1:14" s="10" customFormat="1" ht="15" customHeight="1" outlineLevel="1">
      <c r="A229" s="247"/>
      <c r="B229" s="161"/>
      <c r="C229" s="161"/>
      <c r="D229" s="161"/>
      <c r="E229" s="161"/>
      <c r="F229" s="161"/>
      <c r="G229" s="161"/>
      <c r="H229" s="161"/>
      <c r="I229" s="93" t="s">
        <v>194</v>
      </c>
      <c r="J229" s="161"/>
      <c r="K229" s="161"/>
      <c r="L229" s="161"/>
      <c r="M229" s="108">
        <f>((M227/(1+C220)^0.5)*C220-M226)/(M226+(M227/(1+C220)^0.5))</f>
        <v>3.8395593824765727E-2</v>
      </c>
      <c r="N229" s="255"/>
    </row>
    <row r="230" spans="1:14" s="10" customFormat="1" ht="15" customHeight="1" outlineLevel="1">
      <c r="A230" s="247"/>
      <c r="B230" s="211" t="s">
        <v>70</v>
      </c>
      <c r="C230" s="175"/>
      <c r="D230" s="161"/>
      <c r="E230" s="161"/>
      <c r="F230" s="161"/>
      <c r="G230" s="161"/>
      <c r="H230" s="161"/>
      <c r="I230" s="92"/>
      <c r="J230" s="161"/>
      <c r="K230" s="161"/>
      <c r="L230" s="161"/>
      <c r="M230" s="109"/>
      <c r="N230" s="255"/>
    </row>
    <row r="231" spans="1:14" s="10" customFormat="1" ht="15" customHeight="1" outlineLevel="1">
      <c r="A231" s="247"/>
      <c r="B231" s="37" t="s">
        <v>69</v>
      </c>
      <c r="C231" s="33"/>
      <c r="D231" s="33"/>
      <c r="E231" s="122">
        <f>+D228</f>
        <v>105857.53275686667</v>
      </c>
      <c r="F231" s="161"/>
      <c r="G231" s="161"/>
      <c r="H231" s="161"/>
      <c r="I231" s="91" t="str">
        <f>$M$200&amp;"F EBITDA"</f>
        <v>2027F EBITDA</v>
      </c>
      <c r="J231" s="161"/>
      <c r="K231" s="161"/>
      <c r="L231" s="161"/>
      <c r="M231" s="107">
        <f>M202</f>
        <v>21908.647261726932</v>
      </c>
      <c r="N231" s="255"/>
    </row>
    <row r="232" spans="1:14" s="10" customFormat="1" ht="15" customHeight="1" outlineLevel="1">
      <c r="A232" s="247"/>
      <c r="B232" s="40" t="s">
        <v>60</v>
      </c>
      <c r="C232" s="161"/>
      <c r="D232" s="221" t="s">
        <v>61</v>
      </c>
      <c r="E232" s="136">
        <v>17100</v>
      </c>
      <c r="F232" s="161"/>
      <c r="G232" s="161"/>
      <c r="H232" s="161"/>
      <c r="I232" s="91" t="s">
        <v>149</v>
      </c>
      <c r="J232" s="195"/>
      <c r="K232" s="195"/>
      <c r="L232" s="195"/>
      <c r="M232" s="110">
        <f>M191</f>
        <v>118359.34536162321</v>
      </c>
      <c r="N232" s="255"/>
    </row>
    <row r="233" spans="1:14" s="10" customFormat="1" ht="15" customHeight="1" outlineLevel="1">
      <c r="A233" s="247"/>
      <c r="B233" s="40" t="s">
        <v>69</v>
      </c>
      <c r="C233" s="161"/>
      <c r="D233" s="222" t="s">
        <v>71</v>
      </c>
      <c r="E233" s="124">
        <f>E231/E232</f>
        <v>6.1904989916296298</v>
      </c>
      <c r="F233" s="161"/>
      <c r="G233" s="161"/>
      <c r="H233" s="161"/>
      <c r="I233" s="113" t="s">
        <v>215</v>
      </c>
      <c r="J233" s="223"/>
      <c r="K233" s="223"/>
      <c r="L233" s="223"/>
      <c r="M233" s="114">
        <f>M232/M231</f>
        <v>5.4024031674648283</v>
      </c>
      <c r="N233" s="255"/>
    </row>
    <row r="234" spans="1:14" s="10" customFormat="1" ht="15" customHeight="1" outlineLevel="1">
      <c r="A234" s="247"/>
      <c r="B234" s="40" t="s">
        <v>212</v>
      </c>
      <c r="C234" s="161"/>
      <c r="D234" s="222" t="s">
        <v>71</v>
      </c>
      <c r="E234" s="137">
        <v>7.25</v>
      </c>
      <c r="F234" s="161"/>
      <c r="G234" s="161"/>
      <c r="H234" s="161"/>
      <c r="I234" s="112" t="s">
        <v>216</v>
      </c>
      <c r="J234" s="13"/>
      <c r="K234" s="13"/>
      <c r="L234" s="13"/>
      <c r="M234" s="111">
        <f>(M232*(1+C220)^0.5)/M231</f>
        <v>5.6988055864726128</v>
      </c>
      <c r="N234" s="255"/>
    </row>
    <row r="235" spans="1:14" s="10" customFormat="1" ht="15" customHeight="1" outlineLevel="1">
      <c r="A235" s="247"/>
      <c r="B235" s="104" t="s">
        <v>213</v>
      </c>
      <c r="C235" s="103"/>
      <c r="D235" s="103"/>
      <c r="E235" s="125">
        <f>E233/E234-1</f>
        <v>-0.14613807012005109</v>
      </c>
      <c r="F235" s="161"/>
      <c r="G235" s="161"/>
      <c r="H235" s="161"/>
      <c r="I235" s="161"/>
      <c r="J235" s="161"/>
      <c r="K235" s="161"/>
      <c r="L235" s="161"/>
      <c r="M235" s="161"/>
      <c r="N235" s="255"/>
    </row>
    <row r="236" spans="1:14" s="10" customFormat="1" ht="15" customHeight="1" outlineLevel="1">
      <c r="A236" s="247"/>
      <c r="B236" s="161"/>
      <c r="C236" s="161"/>
      <c r="D236" s="161"/>
      <c r="E236" s="161"/>
      <c r="F236" s="161"/>
      <c r="G236" s="161"/>
      <c r="H236" s="161"/>
      <c r="I236" s="161"/>
      <c r="J236" s="161"/>
      <c r="K236" s="161"/>
      <c r="L236" s="161"/>
      <c r="M236" s="224" t="s">
        <v>195</v>
      </c>
      <c r="N236" s="255"/>
    </row>
    <row r="237" spans="1:14" s="10" customFormat="1" ht="15" customHeight="1" outlineLevel="1">
      <c r="A237" s="247"/>
      <c r="B237" s="161"/>
      <c r="C237" s="161"/>
      <c r="D237" s="161"/>
      <c r="E237" s="161"/>
      <c r="F237" s="161"/>
      <c r="G237" s="161"/>
      <c r="H237" s="161"/>
      <c r="I237" s="161"/>
      <c r="J237" s="161"/>
      <c r="K237" s="161"/>
      <c r="L237" s="161"/>
      <c r="M237" s="225" t="s">
        <v>196</v>
      </c>
      <c r="N237" s="255"/>
    </row>
    <row r="238" spans="1:14" s="10" customFormat="1" ht="15" customHeight="1" outlineLevel="1">
      <c r="A238" s="247"/>
      <c r="B238" s="161"/>
      <c r="C238" s="161"/>
      <c r="D238" s="161"/>
      <c r="E238" s="161"/>
      <c r="F238" s="161"/>
      <c r="G238" s="161"/>
      <c r="H238" s="161"/>
      <c r="I238" s="161"/>
      <c r="J238" s="161"/>
      <c r="K238" s="161"/>
      <c r="L238" s="161"/>
      <c r="M238" s="161"/>
      <c r="N238" s="255"/>
    </row>
    <row r="239" spans="1:14" s="10" customFormat="1" ht="15" customHeight="1" outlineLevel="1">
      <c r="A239" s="247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255"/>
    </row>
    <row r="240" spans="1:14" s="10" customFormat="1" ht="15" customHeight="1">
      <c r="A240" s="247"/>
      <c r="B240" s="161"/>
      <c r="C240" s="161"/>
      <c r="D240" s="161"/>
      <c r="E240" s="161"/>
      <c r="F240" s="161"/>
      <c r="G240" s="161"/>
      <c r="H240" s="161"/>
      <c r="I240" s="161"/>
      <c r="J240" s="161"/>
      <c r="K240" s="161"/>
      <c r="L240" s="161"/>
      <c r="M240" s="161"/>
      <c r="N240" s="255"/>
    </row>
    <row r="241" spans="1:16" s="10" customFormat="1" ht="15" customHeight="1">
      <c r="A241" s="246" t="s">
        <v>21</v>
      </c>
      <c r="B241" s="407" t="s">
        <v>168</v>
      </c>
      <c r="C241" s="407"/>
      <c r="D241" s="407"/>
      <c r="E241" s="407"/>
      <c r="F241" s="409"/>
      <c r="G241" s="409"/>
      <c r="H241" s="409"/>
      <c r="I241" s="410"/>
      <c r="J241" s="411"/>
      <c r="K241" s="411"/>
      <c r="L241" s="411"/>
      <c r="M241" s="411"/>
      <c r="N241" s="413"/>
    </row>
    <row r="242" spans="1:16" s="10" customFormat="1" ht="15" customHeight="1" outlineLevel="1">
      <c r="A242" s="247"/>
      <c r="B242" s="161"/>
      <c r="C242" s="161"/>
      <c r="D242" s="161"/>
      <c r="E242" s="161"/>
      <c r="F242" s="161"/>
      <c r="G242" s="161"/>
      <c r="H242" s="161"/>
      <c r="I242" s="161"/>
      <c r="J242" s="161"/>
      <c r="K242" s="161"/>
      <c r="L242" s="161"/>
      <c r="M242" s="161"/>
      <c r="N242" s="255"/>
    </row>
    <row r="243" spans="1:16" s="10" customFormat="1" ht="15" customHeight="1" outlineLevel="1">
      <c r="A243" s="247"/>
      <c r="B243" s="159" t="s">
        <v>5</v>
      </c>
      <c r="C243" s="161"/>
      <c r="D243" s="161"/>
      <c r="E243" s="161"/>
      <c r="F243" s="161"/>
      <c r="G243" s="161"/>
      <c r="H243" s="64" t="s">
        <v>160</v>
      </c>
      <c r="I243" s="59" t="s">
        <v>156</v>
      </c>
      <c r="J243" s="60"/>
      <c r="K243" s="60"/>
      <c r="L243" s="60"/>
      <c r="M243" s="60"/>
      <c r="N243" s="261" t="s">
        <v>161</v>
      </c>
    </row>
    <row r="244" spans="1:16" s="10" customFormat="1" ht="15" customHeight="1" outlineLevel="1">
      <c r="A244" s="247"/>
      <c r="B244" s="161"/>
      <c r="C244" s="161"/>
      <c r="D244" s="161"/>
      <c r="E244" s="161"/>
      <c r="F244" s="161"/>
      <c r="G244" s="161"/>
      <c r="H244" s="61" t="s">
        <v>157</v>
      </c>
      <c r="I244" s="61" t="s">
        <v>157</v>
      </c>
      <c r="J244" s="62" t="s">
        <v>157</v>
      </c>
      <c r="K244" s="62" t="s">
        <v>157</v>
      </c>
      <c r="L244" s="62" t="s">
        <v>157</v>
      </c>
      <c r="M244" s="66" t="s">
        <v>157</v>
      </c>
      <c r="N244" s="262" t="s">
        <v>157</v>
      </c>
    </row>
    <row r="245" spans="1:16" s="10" customFormat="1" ht="15" customHeight="1" outlineLevel="1">
      <c r="A245" s="247"/>
      <c r="B245" s="57" t="s">
        <v>66</v>
      </c>
      <c r="C245" s="58">
        <f>+$E$178</f>
        <v>0.11273999999999999</v>
      </c>
      <c r="D245" s="161"/>
      <c r="E245" s="161"/>
      <c r="F245" s="226" t="s">
        <v>158</v>
      </c>
      <c r="G245" s="161"/>
      <c r="H245" s="63">
        <f>EOMONTH(I245,-12)</f>
        <v>44926</v>
      </c>
      <c r="I245" s="138">
        <v>45291</v>
      </c>
      <c r="J245" s="227">
        <f>EOMONTH(I245,12)</f>
        <v>45657</v>
      </c>
      <c r="K245" s="227">
        <f t="shared" ref="K245:M246" si="60">EOMONTH(J245,12)</f>
        <v>46022</v>
      </c>
      <c r="L245" s="227">
        <f t="shared" si="60"/>
        <v>46387</v>
      </c>
      <c r="M245" s="65">
        <f t="shared" si="60"/>
        <v>46752</v>
      </c>
      <c r="N245" s="263">
        <f>M245</f>
        <v>46752</v>
      </c>
    </row>
    <row r="246" spans="1:16" s="10" customFormat="1" ht="15" customHeight="1" outlineLevel="1" thickBot="1">
      <c r="A246" s="247"/>
      <c r="B246" s="161"/>
      <c r="C246" s="161"/>
      <c r="D246" s="161"/>
      <c r="E246" s="161"/>
      <c r="F246" s="226" t="s">
        <v>159</v>
      </c>
      <c r="G246" s="161"/>
      <c r="H246" s="67">
        <f>H245</f>
        <v>44926</v>
      </c>
      <c r="I246" s="139">
        <v>45107</v>
      </c>
      <c r="J246" s="68">
        <f>EOMONTH(I246,12)</f>
        <v>45473</v>
      </c>
      <c r="K246" s="68">
        <f t="shared" si="60"/>
        <v>45838</v>
      </c>
      <c r="L246" s="68">
        <f t="shared" si="60"/>
        <v>46203</v>
      </c>
      <c r="M246" s="68">
        <f t="shared" si="60"/>
        <v>46568</v>
      </c>
      <c r="N246" s="264">
        <f>M246</f>
        <v>46568</v>
      </c>
    </row>
    <row r="247" spans="1:16" s="10" customFormat="1" ht="15" customHeight="1" outlineLevel="1">
      <c r="A247" s="247"/>
      <c r="B247" s="161"/>
      <c r="C247" s="161"/>
      <c r="D247" s="161"/>
      <c r="E247" s="161"/>
      <c r="F247" s="161"/>
      <c r="G247" s="161"/>
      <c r="H247" s="161"/>
      <c r="I247" s="161"/>
      <c r="J247" s="161"/>
      <c r="K247" s="161"/>
      <c r="L247" s="161"/>
      <c r="M247" s="161"/>
      <c r="N247" s="255"/>
    </row>
    <row r="248" spans="1:16" s="10" customFormat="1" ht="15" customHeight="1" outlineLevel="1">
      <c r="A248" s="247"/>
      <c r="B248" s="161"/>
      <c r="C248" s="161"/>
      <c r="D248" s="161"/>
      <c r="E248" s="161"/>
      <c r="F248" s="161"/>
      <c r="G248" s="161"/>
      <c r="H248" s="161"/>
      <c r="I248" s="161"/>
      <c r="J248" s="161"/>
      <c r="K248" s="161"/>
      <c r="L248" s="161"/>
      <c r="M248" s="161"/>
      <c r="N248" s="255"/>
    </row>
    <row r="249" spans="1:16" s="10" customFormat="1" ht="15" customHeight="1" outlineLevel="1" thickBot="1">
      <c r="A249" s="247"/>
      <c r="B249" s="161"/>
      <c r="C249" s="161"/>
      <c r="D249" s="161"/>
      <c r="E249" s="161"/>
      <c r="F249" s="161"/>
      <c r="G249" s="161"/>
      <c r="H249" s="24">
        <f t="shared" ref="H249" si="61">H$5</f>
        <v>2022</v>
      </c>
      <c r="I249" s="25">
        <f t="shared" ref="I249:M249" si="62">I$5</f>
        <v>2023</v>
      </c>
      <c r="J249" s="25">
        <f t="shared" si="62"/>
        <v>2024</v>
      </c>
      <c r="K249" s="25">
        <f t="shared" si="62"/>
        <v>2025</v>
      </c>
      <c r="L249" s="25">
        <f t="shared" si="62"/>
        <v>2026</v>
      </c>
      <c r="M249" s="25">
        <f t="shared" si="62"/>
        <v>2027</v>
      </c>
      <c r="N249" s="255"/>
    </row>
    <row r="250" spans="1:16" s="10" customFormat="1" ht="15" customHeight="1" outlineLevel="1">
      <c r="A250" s="247"/>
      <c r="B250" s="200" t="s">
        <v>63</v>
      </c>
      <c r="C250" s="161"/>
      <c r="D250" s="161"/>
      <c r="E250" s="161"/>
      <c r="F250" s="161"/>
      <c r="G250" s="161"/>
      <c r="H250" s="161"/>
      <c r="I250" s="228">
        <f>I216</f>
        <v>9987.4023761080061</v>
      </c>
      <c r="J250" s="228">
        <f>J216</f>
        <v>10594.313323367773</v>
      </c>
      <c r="K250" s="228">
        <f>K216</f>
        <v>10711.481600168969</v>
      </c>
      <c r="L250" s="228">
        <f>L216</f>
        <v>11077.003088518966</v>
      </c>
      <c r="M250" s="228">
        <f>M216</f>
        <v>10761.417341996996</v>
      </c>
      <c r="N250" s="255"/>
    </row>
    <row r="251" spans="1:16" s="10" customFormat="1" ht="15" customHeight="1" outlineLevel="1">
      <c r="A251" s="247"/>
      <c r="B251" s="229" t="s">
        <v>162</v>
      </c>
      <c r="C251" s="161"/>
      <c r="D251" s="161"/>
      <c r="E251" s="161"/>
      <c r="F251" s="161"/>
      <c r="G251" s="161"/>
      <c r="H251" s="13"/>
      <c r="I251" s="13"/>
      <c r="J251" s="13"/>
      <c r="K251" s="13"/>
      <c r="L251" s="13"/>
      <c r="M251" s="69">
        <f>M213</f>
        <v>138457.34099393256</v>
      </c>
      <c r="N251" s="255"/>
    </row>
    <row r="252" spans="1:16" s="10" customFormat="1" ht="15" customHeight="1" outlineLevel="1">
      <c r="A252" s="247"/>
      <c r="B252" s="200" t="s">
        <v>150</v>
      </c>
      <c r="C252" s="161"/>
      <c r="D252" s="161"/>
      <c r="E252" s="161"/>
      <c r="F252" s="161"/>
      <c r="G252" s="161"/>
      <c r="H252" s="152">
        <v>0</v>
      </c>
      <c r="I252" s="228">
        <f>SUM(I250:I251)</f>
        <v>9987.4023761080061</v>
      </c>
      <c r="J252" s="228">
        <f t="shared" ref="J252:M252" si="63">SUM(J250:J251)</f>
        <v>10594.313323367773</v>
      </c>
      <c r="K252" s="228">
        <f t="shared" si="63"/>
        <v>10711.481600168969</v>
      </c>
      <c r="L252" s="228">
        <f t="shared" si="63"/>
        <v>11077.003088518966</v>
      </c>
      <c r="M252" s="228">
        <f t="shared" si="63"/>
        <v>149218.75833592957</v>
      </c>
      <c r="N252" s="255"/>
    </row>
    <row r="253" spans="1:16" s="10" customFormat="1" ht="15" customHeight="1" outlineLevel="1">
      <c r="A253" s="247"/>
      <c r="B253" s="161"/>
      <c r="C253" s="161"/>
      <c r="D253" s="161"/>
      <c r="E253" s="161"/>
      <c r="F253" s="161"/>
      <c r="G253" s="161"/>
      <c r="H253" s="161"/>
      <c r="I253" s="161"/>
      <c r="J253" s="161"/>
      <c r="K253" s="161"/>
      <c r="L253" s="161"/>
      <c r="M253" s="161"/>
      <c r="N253" s="255"/>
    </row>
    <row r="254" spans="1:16" s="10" customFormat="1" ht="15" customHeight="1" outlineLevel="1">
      <c r="A254" s="247"/>
      <c r="B254" s="161"/>
      <c r="C254" s="161"/>
      <c r="D254" s="161"/>
      <c r="E254" s="161"/>
      <c r="F254" s="161"/>
      <c r="G254" s="161"/>
      <c r="H254" s="161"/>
      <c r="I254" s="161"/>
      <c r="J254" s="161"/>
      <c r="K254" s="161"/>
      <c r="L254" s="161"/>
      <c r="M254" s="161"/>
      <c r="N254" s="255"/>
    </row>
    <row r="255" spans="1:16" s="10" customFormat="1" ht="15" customHeight="1" outlineLevel="1">
      <c r="A255" s="247"/>
      <c r="B255" s="197" t="s">
        <v>163</v>
      </c>
      <c r="C255" s="161"/>
      <c r="D255" s="161"/>
      <c r="E255" s="161"/>
      <c r="F255" s="161"/>
      <c r="G255" s="161"/>
      <c r="H255" s="161"/>
      <c r="I255" s="161"/>
      <c r="J255" s="161"/>
      <c r="K255" s="161"/>
      <c r="L255" s="161"/>
      <c r="M255" s="161"/>
      <c r="N255" s="255"/>
    </row>
    <row r="256" spans="1:16" s="10" customFormat="1" ht="15" customHeight="1" outlineLevel="1">
      <c r="A256" s="247"/>
      <c r="B256" s="200" t="s">
        <v>73</v>
      </c>
      <c r="C256" s="161"/>
      <c r="D256" s="161"/>
      <c r="E256" s="161"/>
      <c r="F256" s="161"/>
      <c r="G256" s="161"/>
      <c r="H256" s="13"/>
      <c r="I256" s="126">
        <f>(I245-$H245)/365</f>
        <v>1</v>
      </c>
      <c r="J256" s="126">
        <f t="shared" ref="J256:M256" si="64">(J245-$H245)/365</f>
        <v>2.0027397260273974</v>
      </c>
      <c r="K256" s="126">
        <f t="shared" si="64"/>
        <v>3.0027397260273974</v>
      </c>
      <c r="L256" s="126">
        <f t="shared" si="64"/>
        <v>4.0027397260273974</v>
      </c>
      <c r="M256" s="126">
        <f t="shared" si="64"/>
        <v>5.0027397260273974</v>
      </c>
      <c r="N256" s="265"/>
      <c r="P256"/>
    </row>
    <row r="257" spans="1:14" s="10" customFormat="1" ht="15" customHeight="1" outlineLevel="1">
      <c r="A257" s="247"/>
      <c r="B257" s="200" t="s">
        <v>151</v>
      </c>
      <c r="C257" s="161"/>
      <c r="D257" s="161"/>
      <c r="E257" s="161"/>
      <c r="F257" s="161"/>
      <c r="G257" s="161"/>
      <c r="H257" s="152">
        <v>0</v>
      </c>
      <c r="I257" s="230">
        <f>I$252/(1+$C$245)^I256</f>
        <v>8975.5040495605499</v>
      </c>
      <c r="J257" s="230">
        <f t="shared" ref="J257:M257" si="65">J$252/(1+$C$245)^J256</f>
        <v>8553.7845422301307</v>
      </c>
      <c r="K257" s="230">
        <f t="shared" si="65"/>
        <v>7772.1529743883302</v>
      </c>
      <c r="L257" s="230">
        <f t="shared" si="65"/>
        <v>7223.0458324566007</v>
      </c>
      <c r="M257" s="230">
        <f t="shared" si="65"/>
        <v>87443.557046030226</v>
      </c>
      <c r="N257" s="255"/>
    </row>
    <row r="258" spans="1:14" s="10" customFormat="1" ht="15" customHeight="1" outlineLevel="1">
      <c r="A258" s="247"/>
      <c r="B258" s="229" t="s">
        <v>67</v>
      </c>
      <c r="C258" s="161"/>
      <c r="D258" s="161"/>
      <c r="E258" s="161"/>
      <c r="F258" s="228">
        <f>SUM(I257:M257)</f>
        <v>119968.04444466584</v>
      </c>
      <c r="G258" s="161"/>
      <c r="H258" s="161"/>
      <c r="I258" s="161"/>
      <c r="J258" s="161"/>
      <c r="K258" s="161"/>
      <c r="L258" s="161"/>
      <c r="M258" s="161"/>
      <c r="N258" s="255"/>
    </row>
    <row r="259" spans="1:14" s="10" customFormat="1" ht="15" customHeight="1" outlineLevel="1">
      <c r="A259" s="247"/>
      <c r="B259" s="231" t="s">
        <v>69</v>
      </c>
      <c r="C259" s="161"/>
      <c r="D259" s="161"/>
      <c r="E259" s="222" t="s">
        <v>71</v>
      </c>
      <c r="F259" s="127">
        <f>(F258+$D$227)/$E$232</f>
        <v>6.1885990376997562</v>
      </c>
      <c r="G259" s="161"/>
      <c r="H259" s="161"/>
      <c r="I259" s="161"/>
      <c r="J259" s="161"/>
      <c r="K259" s="161"/>
      <c r="L259" s="161"/>
      <c r="M259" s="161"/>
      <c r="N259" s="255"/>
    </row>
    <row r="260" spans="1:14" s="10" customFormat="1" ht="15" customHeight="1" outlineLevel="1">
      <c r="A260" s="247"/>
      <c r="B260" s="229"/>
      <c r="C260" s="161"/>
      <c r="D260" s="161"/>
      <c r="E260" s="161"/>
      <c r="F260" s="228"/>
      <c r="G260" s="161"/>
      <c r="H260" s="161"/>
      <c r="I260" s="161"/>
      <c r="J260" s="161"/>
      <c r="K260" s="161"/>
      <c r="L260" s="161"/>
      <c r="M260" s="161"/>
      <c r="N260" s="255"/>
    </row>
    <row r="261" spans="1:14" s="10" customFormat="1" ht="15" customHeight="1" outlineLevel="1">
      <c r="A261" s="247"/>
      <c r="B261" s="197" t="s">
        <v>220</v>
      </c>
      <c r="C261" s="161"/>
      <c r="D261" s="161"/>
      <c r="E261" s="161"/>
      <c r="F261" s="161"/>
      <c r="G261" s="161"/>
      <c r="H261" s="161"/>
      <c r="I261" s="161"/>
      <c r="J261" s="161"/>
      <c r="K261" s="161"/>
      <c r="L261" s="161"/>
      <c r="M261" s="161"/>
      <c r="N261" s="255"/>
    </row>
    <row r="262" spans="1:14" s="10" customFormat="1" ht="15" customHeight="1" outlineLevel="1">
      <c r="A262" s="247"/>
      <c r="B262" s="200" t="s">
        <v>73</v>
      </c>
      <c r="C262" s="161"/>
      <c r="D262" s="161"/>
      <c r="E262" s="161"/>
      <c r="F262" s="161"/>
      <c r="G262" s="161"/>
      <c r="H262" s="13"/>
      <c r="I262" s="126">
        <f>(I246-$H$246)/365</f>
        <v>0.49589041095890413</v>
      </c>
      <c r="J262" s="126">
        <f>(J246-$H$246)/365</f>
        <v>1.4986301369863013</v>
      </c>
      <c r="K262" s="126">
        <f>(K246-$H$246)/365</f>
        <v>2.4986301369863013</v>
      </c>
      <c r="L262" s="126">
        <f>(L246-$H$246)/365</f>
        <v>3.4986301369863013</v>
      </c>
      <c r="M262" s="126">
        <f>(M246-$H$246)/365</f>
        <v>4.4986301369863018</v>
      </c>
      <c r="N262" s="255"/>
    </row>
    <row r="263" spans="1:14" s="10" customFormat="1" ht="15" customHeight="1" outlineLevel="1">
      <c r="A263" s="247"/>
      <c r="B263" s="200" t="s">
        <v>151</v>
      </c>
      <c r="C263" s="161"/>
      <c r="D263" s="161"/>
      <c r="E263" s="161"/>
      <c r="F263" s="161"/>
      <c r="G263" s="161"/>
      <c r="H263" s="152">
        <v>0</v>
      </c>
      <c r="I263" s="230">
        <f>I$252/(1+$C$245)^I262</f>
        <v>9472.1017856865765</v>
      </c>
      <c r="J263" s="230">
        <f t="shared" ref="J263" si="66">J$252/(1+$C$245)^J262</f>
        <v>9027.0493322102848</v>
      </c>
      <c r="K263" s="230">
        <f t="shared" ref="K263" si="67">K$252/(1+$C$245)^K262</f>
        <v>8202.1715617116115</v>
      </c>
      <c r="L263" s="230">
        <f t="shared" ref="L263" si="68">L$252/(1+$C$245)^L262</f>
        <v>7622.6833557116988</v>
      </c>
      <c r="M263" s="230">
        <f t="shared" ref="M263" si="69">M$252/(1+$C$245)^M262</f>
        <v>92281.644381079881</v>
      </c>
      <c r="N263" s="255"/>
    </row>
    <row r="264" spans="1:14" s="10" customFormat="1" ht="15" customHeight="1" outlineLevel="1">
      <c r="A264" s="247"/>
      <c r="B264" s="229" t="s">
        <v>67</v>
      </c>
      <c r="C264" s="161"/>
      <c r="D264" s="161"/>
      <c r="E264" s="161"/>
      <c r="F264" s="228">
        <f>SUM(I263:M263)</f>
        <v>126605.65041640005</v>
      </c>
      <c r="G264" s="161"/>
      <c r="H264" s="161"/>
      <c r="I264" s="161"/>
      <c r="J264" s="161"/>
      <c r="K264" s="161"/>
      <c r="L264" s="161"/>
      <c r="M264" s="161"/>
      <c r="N264" s="255"/>
    </row>
    <row r="265" spans="1:14" s="10" customFormat="1" ht="15" customHeight="1" outlineLevel="1">
      <c r="A265" s="247"/>
      <c r="B265" s="231" t="s">
        <v>69</v>
      </c>
      <c r="C265" s="161"/>
      <c r="D265" s="161"/>
      <c r="E265" s="222" t="s">
        <v>71</v>
      </c>
      <c r="F265" s="127">
        <f>(F264+$D$227)/$E$232</f>
        <v>6.5767631296140383</v>
      </c>
      <c r="G265" s="161"/>
      <c r="H265" s="161"/>
      <c r="I265" s="161"/>
      <c r="J265" s="161"/>
      <c r="K265" s="161"/>
      <c r="L265" s="161"/>
      <c r="M265" s="161"/>
      <c r="N265" s="255"/>
    </row>
    <row r="266" spans="1:14" s="10" customFormat="1" ht="15" customHeight="1" outlineLevel="1">
      <c r="A266" s="247"/>
      <c r="B266" s="229"/>
      <c r="C266" s="161"/>
      <c r="D266" s="161"/>
      <c r="E266" s="161"/>
      <c r="F266" s="228"/>
      <c r="G266" s="161"/>
      <c r="H266" s="161"/>
      <c r="I266" s="161"/>
      <c r="J266" s="161"/>
      <c r="K266" s="161"/>
      <c r="L266" s="161"/>
      <c r="M266" s="161"/>
      <c r="N266" s="255"/>
    </row>
    <row r="267" spans="1:14" s="10" customFormat="1" ht="15" customHeight="1" outlineLevel="1">
      <c r="A267" s="247"/>
      <c r="B267" s="197" t="s">
        <v>174</v>
      </c>
      <c r="C267" s="161"/>
      <c r="D267" s="161"/>
      <c r="E267" s="161"/>
      <c r="F267" s="161"/>
      <c r="G267" s="161"/>
      <c r="H267" s="161"/>
      <c r="I267" s="161"/>
      <c r="J267" s="161"/>
      <c r="K267" s="161"/>
      <c r="L267" s="161"/>
      <c r="M267" s="161"/>
      <c r="N267" s="255"/>
    </row>
    <row r="268" spans="1:14" s="10" customFormat="1" ht="15" customHeight="1" outlineLevel="1">
      <c r="A268" s="247"/>
      <c r="B268" s="229" t="s">
        <v>67</v>
      </c>
      <c r="C268" s="161"/>
      <c r="D268" s="161"/>
      <c r="E268" s="161"/>
      <c r="F268" s="228">
        <f>NPV(C245,I252:M252)+H252</f>
        <v>120000.53365686667</v>
      </c>
      <c r="G268" s="161"/>
      <c r="H268" s="194"/>
      <c r="I268" s="161"/>
      <c r="J268" s="161"/>
      <c r="K268" s="161"/>
      <c r="L268" s="161"/>
      <c r="M268" s="161"/>
      <c r="N268" s="255"/>
    </row>
    <row r="269" spans="1:14" s="10" customFormat="1" ht="15" customHeight="1" outlineLevel="1">
      <c r="A269" s="247"/>
      <c r="B269" s="231" t="s">
        <v>69</v>
      </c>
      <c r="C269" s="161"/>
      <c r="D269" s="161"/>
      <c r="E269" s="222" t="s">
        <v>71</v>
      </c>
      <c r="F269" s="127">
        <f>(F268+$D$227)/$E$232</f>
        <v>6.1904989916296298</v>
      </c>
      <c r="G269" s="161"/>
      <c r="H269" s="194"/>
      <c r="I269" s="161"/>
      <c r="J269" s="161"/>
      <c r="K269" s="161"/>
      <c r="L269" s="161"/>
      <c r="M269" s="161"/>
      <c r="N269" s="255"/>
    </row>
    <row r="270" spans="1:14" s="10" customFormat="1" ht="15" customHeight="1" outlineLevel="1">
      <c r="A270" s="247"/>
      <c r="B270" s="229"/>
      <c r="C270" s="161"/>
      <c r="D270" s="161"/>
      <c r="E270" s="161"/>
      <c r="F270" s="228"/>
      <c r="G270" s="161"/>
      <c r="H270" s="194"/>
      <c r="I270" s="161"/>
      <c r="J270" s="161"/>
      <c r="K270" s="161"/>
      <c r="L270" s="161"/>
      <c r="M270" s="161"/>
      <c r="N270" s="255"/>
    </row>
    <row r="271" spans="1:14" s="10" customFormat="1" ht="15" customHeight="1" outlineLevel="1">
      <c r="A271" s="247"/>
      <c r="B271" s="197" t="s">
        <v>173</v>
      </c>
      <c r="C271" s="161"/>
      <c r="D271" s="161"/>
      <c r="E271" s="161"/>
      <c r="F271" s="161"/>
      <c r="G271" s="161"/>
      <c r="H271" s="194"/>
      <c r="I271" s="161"/>
      <c r="J271" s="161"/>
      <c r="K271" s="161"/>
      <c r="L271" s="161"/>
      <c r="M271" s="161"/>
      <c r="N271" s="255"/>
    </row>
    <row r="272" spans="1:14" s="10" customFormat="1" ht="15" customHeight="1" outlineLevel="1">
      <c r="A272" s="247"/>
      <c r="B272" s="229" t="s">
        <v>67</v>
      </c>
      <c r="C272" s="161"/>
      <c r="D272" s="161"/>
      <c r="E272" s="161"/>
      <c r="F272" s="228">
        <f>XNPV(C245,H252:M252,H245:M245)</f>
        <v>119968.04444466584</v>
      </c>
      <c r="G272" s="161"/>
      <c r="H272" s="194"/>
      <c r="I272" s="161"/>
      <c r="J272" s="161"/>
      <c r="K272" s="161"/>
      <c r="L272" s="161"/>
      <c r="M272" s="161"/>
      <c r="N272" s="255"/>
    </row>
    <row r="273" spans="1:14" s="10" customFormat="1" ht="15" customHeight="1" outlineLevel="1">
      <c r="A273" s="247"/>
      <c r="B273" s="231" t="s">
        <v>69</v>
      </c>
      <c r="C273" s="161"/>
      <c r="D273" s="161"/>
      <c r="E273" s="222" t="s">
        <v>71</v>
      </c>
      <c r="F273" s="127">
        <f>(F272+$D$227)/$E$232</f>
        <v>6.1885990376997562</v>
      </c>
      <c r="G273" s="161"/>
      <c r="H273" s="194"/>
      <c r="I273" s="161"/>
      <c r="J273" s="161"/>
      <c r="K273" s="161"/>
      <c r="L273" s="161"/>
      <c r="M273" s="161"/>
      <c r="N273" s="255"/>
    </row>
    <row r="274" spans="1:14" s="10" customFormat="1" ht="15" customHeight="1" outlineLevel="1">
      <c r="A274" s="247"/>
      <c r="B274" s="229"/>
      <c r="C274" s="161"/>
      <c r="D274" s="161"/>
      <c r="E274" s="161"/>
      <c r="F274" s="228"/>
      <c r="G274" s="161"/>
      <c r="H274" s="194"/>
      <c r="I274" s="161"/>
      <c r="J274" s="161"/>
      <c r="K274" s="161"/>
      <c r="L274" s="161"/>
      <c r="M274" s="161"/>
      <c r="N274" s="255"/>
    </row>
    <row r="275" spans="1:14" s="10" customFormat="1" ht="15" customHeight="1" outlineLevel="1">
      <c r="A275" s="247"/>
      <c r="B275" s="197" t="s">
        <v>228</v>
      </c>
      <c r="C275" s="161"/>
      <c r="D275" s="161"/>
      <c r="E275" s="161"/>
      <c r="F275" s="161"/>
      <c r="G275" s="161"/>
      <c r="H275" s="194"/>
      <c r="I275" s="161"/>
      <c r="J275" s="161"/>
      <c r="K275" s="161"/>
      <c r="L275" s="161"/>
      <c r="M275" s="161"/>
      <c r="N275" s="255"/>
    </row>
    <row r="276" spans="1:14" s="10" customFormat="1" ht="15" customHeight="1" outlineLevel="1">
      <c r="A276" s="247"/>
      <c r="B276" s="229" t="s">
        <v>67</v>
      </c>
      <c r="C276" s="161"/>
      <c r="D276" s="161"/>
      <c r="E276" s="161"/>
      <c r="F276" s="228">
        <f>XNPV(C245,H252:M252,H246:M246)</f>
        <v>126605.65041640005</v>
      </c>
      <c r="G276" s="161"/>
      <c r="H276" s="194"/>
      <c r="I276" s="161"/>
      <c r="J276" s="161"/>
      <c r="K276" s="161"/>
      <c r="L276" s="161"/>
      <c r="M276" s="161"/>
      <c r="N276" s="255"/>
    </row>
    <row r="277" spans="1:14" s="10" customFormat="1" ht="15" customHeight="1" outlineLevel="1">
      <c r="A277" s="247"/>
      <c r="B277" s="231" t="s">
        <v>69</v>
      </c>
      <c r="C277" s="161"/>
      <c r="D277" s="161"/>
      <c r="E277" s="222" t="s">
        <v>71</v>
      </c>
      <c r="F277" s="127">
        <f>(F276+$D$227)/$E$232</f>
        <v>6.5767631296140383</v>
      </c>
      <c r="G277" s="161"/>
      <c r="H277" s="194"/>
      <c r="I277" s="161"/>
      <c r="J277" s="161"/>
      <c r="K277" s="161"/>
      <c r="L277" s="161"/>
      <c r="M277" s="161"/>
      <c r="N277" s="255"/>
    </row>
    <row r="278" spans="1:14" s="10" customFormat="1" ht="15" customHeight="1" outlineLevel="1">
      <c r="A278" s="247"/>
      <c r="B278" s="229"/>
      <c r="C278" s="161"/>
      <c r="D278" s="161"/>
      <c r="E278" s="161"/>
      <c r="F278" s="228"/>
      <c r="G278" s="161"/>
      <c r="H278" s="194"/>
      <c r="I278" s="161"/>
      <c r="J278" s="161"/>
      <c r="K278" s="161"/>
      <c r="L278" s="161"/>
      <c r="M278" s="161"/>
      <c r="N278" s="255"/>
    </row>
    <row r="279" spans="1:14" s="10" customFormat="1" ht="15" customHeight="1" outlineLevel="1">
      <c r="A279" s="247"/>
      <c r="B279" s="232"/>
      <c r="C279" s="161"/>
      <c r="D279" s="161"/>
      <c r="E279" s="161"/>
      <c r="F279" s="161"/>
      <c r="G279" s="161"/>
      <c r="H279" s="161"/>
      <c r="I279" s="161"/>
      <c r="J279" s="161"/>
      <c r="K279" s="161"/>
      <c r="L279" s="161"/>
      <c r="M279" s="161"/>
      <c r="N279" s="266" t="s">
        <v>164</v>
      </c>
    </row>
    <row r="280" spans="1:14" s="10" customFormat="1" ht="15" customHeight="1" outlineLevel="1">
      <c r="A280" s="247"/>
      <c r="B280" s="232"/>
      <c r="C280" s="161"/>
      <c r="D280" s="161"/>
      <c r="E280" s="161"/>
      <c r="F280" s="161"/>
      <c r="G280" s="161"/>
      <c r="H280" s="161"/>
      <c r="I280" s="161"/>
      <c r="J280" s="161"/>
      <c r="K280" s="161"/>
      <c r="L280" s="161"/>
      <c r="M280" s="161"/>
      <c r="N280" s="267" t="s">
        <v>165</v>
      </c>
    </row>
    <row r="281" spans="1:14" s="10" customFormat="1" ht="15" customHeight="1" outlineLevel="1">
      <c r="A281" s="247"/>
      <c r="B281" s="232"/>
      <c r="C281" s="161"/>
      <c r="D281" s="161"/>
      <c r="E281" s="161"/>
      <c r="F281" s="161"/>
      <c r="G281" s="161"/>
      <c r="H281" s="161"/>
      <c r="I281" s="161"/>
      <c r="J281" s="161"/>
      <c r="K281" s="161"/>
      <c r="L281" s="161"/>
      <c r="M281" s="161"/>
      <c r="N281" s="266" t="s">
        <v>166</v>
      </c>
    </row>
    <row r="282" spans="1:14" s="10" customFormat="1" ht="15" customHeight="1" outlineLevel="1">
      <c r="A282" s="247"/>
      <c r="B282" s="232"/>
      <c r="C282" s="161"/>
      <c r="D282" s="161"/>
      <c r="E282" s="161"/>
      <c r="F282" s="161"/>
      <c r="G282" s="161"/>
      <c r="H282" s="161"/>
      <c r="I282" s="161"/>
      <c r="J282" s="161"/>
      <c r="K282" s="161"/>
      <c r="L282" s="161"/>
      <c r="M282" s="161"/>
      <c r="N282" s="268" t="s">
        <v>222</v>
      </c>
    </row>
    <row r="283" spans="1:14" s="10" customFormat="1" ht="15" customHeight="1" outlineLevel="1">
      <c r="A283" s="247"/>
      <c r="B283" s="232"/>
      <c r="C283" s="161"/>
      <c r="D283" s="161"/>
      <c r="E283" s="161"/>
      <c r="F283" s="161"/>
      <c r="G283" s="161"/>
      <c r="H283" s="161"/>
      <c r="I283" s="161"/>
      <c r="J283" s="161"/>
      <c r="K283" s="161"/>
      <c r="L283" s="161"/>
      <c r="M283" s="161"/>
      <c r="N283" s="269" t="s">
        <v>227</v>
      </c>
    </row>
    <row r="284" spans="1:14" s="10" customFormat="1" ht="15" customHeight="1" outlineLevel="1">
      <c r="A284" s="247"/>
      <c r="B284" s="232"/>
      <c r="C284" s="161"/>
      <c r="D284" s="161"/>
      <c r="E284" s="161"/>
      <c r="F284" s="161"/>
      <c r="G284" s="161"/>
      <c r="H284" s="161"/>
      <c r="I284" s="161"/>
      <c r="J284" s="161"/>
      <c r="K284" s="161"/>
      <c r="L284" s="161"/>
      <c r="M284" s="161"/>
      <c r="N284" s="270"/>
    </row>
    <row r="285" spans="1:14" s="10" customFormat="1" ht="15" customHeight="1" outlineLevel="1">
      <c r="A285" s="247"/>
      <c r="B285" s="71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271"/>
    </row>
    <row r="286" spans="1:14" s="10" customFormat="1" ht="15" customHeight="1">
      <c r="A286" s="247"/>
      <c r="B286" s="232"/>
      <c r="C286" s="161"/>
      <c r="D286" s="161"/>
      <c r="E286" s="161"/>
      <c r="F286" s="161"/>
      <c r="G286" s="161"/>
      <c r="H286" s="161"/>
      <c r="I286" s="161"/>
      <c r="J286" s="161"/>
      <c r="K286" s="161"/>
      <c r="L286" s="161"/>
      <c r="M286" s="161"/>
      <c r="N286" s="270"/>
    </row>
    <row r="287" spans="1:14" s="10" customFormat="1" ht="15" customHeight="1">
      <c r="A287" s="247" t="s">
        <v>21</v>
      </c>
      <c r="B287" s="407" t="s">
        <v>167</v>
      </c>
      <c r="C287" s="407"/>
      <c r="D287" s="407"/>
      <c r="E287" s="407"/>
      <c r="F287" s="409"/>
      <c r="G287" s="409"/>
      <c r="H287" s="409"/>
      <c r="I287" s="410"/>
      <c r="J287" s="411"/>
      <c r="K287" s="411"/>
      <c r="L287" s="411"/>
      <c r="M287" s="411"/>
      <c r="N287" s="413"/>
    </row>
    <row r="288" spans="1:14" s="10" customFormat="1" ht="15" customHeight="1" outlineLevel="1">
      <c r="A288" s="247"/>
      <c r="B288" s="232"/>
      <c r="C288" s="161"/>
      <c r="D288" s="161"/>
      <c r="E288" s="161"/>
      <c r="F288" s="161"/>
      <c r="G288" s="161"/>
      <c r="H288" s="161"/>
      <c r="I288" s="161"/>
      <c r="J288" s="161"/>
      <c r="K288" s="161"/>
      <c r="L288" s="161"/>
      <c r="M288" s="161"/>
      <c r="N288" s="255"/>
    </row>
    <row r="289" spans="1:14" s="10" customFormat="1" ht="15" customHeight="1" outlineLevel="1">
      <c r="A289" s="247"/>
      <c r="B289" s="159" t="s">
        <v>5</v>
      </c>
      <c r="C289" s="161"/>
      <c r="D289" s="161"/>
      <c r="E289" s="161"/>
      <c r="F289" s="161"/>
      <c r="G289" s="161"/>
      <c r="H289" s="64" t="s">
        <v>160</v>
      </c>
      <c r="I289" s="59" t="s">
        <v>156</v>
      </c>
      <c r="J289" s="60"/>
      <c r="K289" s="60"/>
      <c r="L289" s="60"/>
      <c r="M289" s="60"/>
      <c r="N289" s="261" t="s">
        <v>161</v>
      </c>
    </row>
    <row r="290" spans="1:14" s="10" customFormat="1" ht="15" customHeight="1" outlineLevel="1">
      <c r="A290" s="247"/>
      <c r="B290" s="161"/>
      <c r="C290" s="161"/>
      <c r="D290" s="161"/>
      <c r="E290" s="161"/>
      <c r="F290" s="161"/>
      <c r="G290" s="161"/>
      <c r="H290" s="61" t="s">
        <v>157</v>
      </c>
      <c r="I290" s="61" t="s">
        <v>157</v>
      </c>
      <c r="J290" s="62" t="s">
        <v>157</v>
      </c>
      <c r="K290" s="62" t="s">
        <v>157</v>
      </c>
      <c r="L290" s="62" t="s">
        <v>157</v>
      </c>
      <c r="M290" s="66" t="s">
        <v>157</v>
      </c>
      <c r="N290" s="262" t="s">
        <v>157</v>
      </c>
    </row>
    <row r="291" spans="1:14" s="10" customFormat="1" ht="15" customHeight="1" outlineLevel="1">
      <c r="A291" s="247"/>
      <c r="B291" s="57" t="s">
        <v>66</v>
      </c>
      <c r="C291" s="58">
        <f>+$E$178</f>
        <v>0.11273999999999999</v>
      </c>
      <c r="D291" s="161"/>
      <c r="E291" s="161"/>
      <c r="F291" s="226" t="s">
        <v>158</v>
      </c>
      <c r="G291" s="161"/>
      <c r="H291" s="63">
        <f>EOMONTH(I291,-12)</f>
        <v>44926</v>
      </c>
      <c r="I291" s="138">
        <v>45291</v>
      </c>
      <c r="J291" s="227">
        <f>EOMONTH(I291,12)</f>
        <v>45657</v>
      </c>
      <c r="K291" s="227">
        <f t="shared" ref="K291:M291" si="70">EOMONTH(J291,12)</f>
        <v>46022</v>
      </c>
      <c r="L291" s="227">
        <f t="shared" si="70"/>
        <v>46387</v>
      </c>
      <c r="M291" s="65">
        <f t="shared" si="70"/>
        <v>46752</v>
      </c>
      <c r="N291" s="263">
        <f>M291</f>
        <v>46752</v>
      </c>
    </row>
    <row r="292" spans="1:14" s="10" customFormat="1" ht="15" customHeight="1" outlineLevel="1" thickBot="1">
      <c r="A292" s="247"/>
      <c r="B292" s="161"/>
      <c r="C292" s="161"/>
      <c r="D292" s="161"/>
      <c r="E292" s="161"/>
      <c r="F292" s="226" t="s">
        <v>159</v>
      </c>
      <c r="G292" s="161"/>
      <c r="H292" s="67">
        <f>H291</f>
        <v>44926</v>
      </c>
      <c r="I292" s="139">
        <v>45107</v>
      </c>
      <c r="J292" s="68">
        <f>EOMONTH(I292,12)</f>
        <v>45473</v>
      </c>
      <c r="K292" s="68">
        <f t="shared" ref="K292:M292" si="71">EOMONTH(J292,12)</f>
        <v>45838</v>
      </c>
      <c r="L292" s="68">
        <f t="shared" si="71"/>
        <v>46203</v>
      </c>
      <c r="M292" s="68">
        <f t="shared" si="71"/>
        <v>46568</v>
      </c>
      <c r="N292" s="264">
        <f>M292</f>
        <v>46568</v>
      </c>
    </row>
    <row r="293" spans="1:14" s="10" customFormat="1" ht="15" customHeight="1" outlineLevel="1">
      <c r="A293" s="247"/>
      <c r="B293" s="232"/>
      <c r="C293" s="161"/>
      <c r="D293" s="161"/>
      <c r="E293" s="161"/>
      <c r="F293" s="161"/>
      <c r="G293" s="161"/>
      <c r="H293" s="161"/>
      <c r="I293" s="161"/>
      <c r="J293" s="161"/>
      <c r="K293" s="161"/>
      <c r="L293" s="161"/>
      <c r="M293" s="161"/>
      <c r="N293" s="255"/>
    </row>
    <row r="294" spans="1:14" s="10" customFormat="1" ht="15" customHeight="1" outlineLevel="1">
      <c r="A294" s="247"/>
      <c r="B294" s="232"/>
      <c r="C294" s="161"/>
      <c r="D294" s="161"/>
      <c r="E294" s="161"/>
      <c r="F294" s="161"/>
      <c r="G294" s="161"/>
      <c r="H294" s="161"/>
      <c r="I294" s="161"/>
      <c r="J294" s="161"/>
      <c r="K294" s="161"/>
      <c r="L294" s="161"/>
      <c r="M294" s="161"/>
      <c r="N294" s="255"/>
    </row>
    <row r="295" spans="1:14" s="10" customFormat="1" ht="15" customHeight="1" outlineLevel="1" thickBot="1">
      <c r="A295" s="247"/>
      <c r="B295" s="161"/>
      <c r="C295" s="161"/>
      <c r="D295" s="161"/>
      <c r="E295" s="161"/>
      <c r="F295" s="161"/>
      <c r="G295" s="161"/>
      <c r="H295" s="24">
        <f t="shared" ref="H295:M295" si="72">H$5</f>
        <v>2022</v>
      </c>
      <c r="I295" s="25">
        <f t="shared" si="72"/>
        <v>2023</v>
      </c>
      <c r="J295" s="25">
        <f t="shared" si="72"/>
        <v>2024</v>
      </c>
      <c r="K295" s="25">
        <f t="shared" si="72"/>
        <v>2025</v>
      </c>
      <c r="L295" s="25">
        <f t="shared" si="72"/>
        <v>2026</v>
      </c>
      <c r="M295" s="25">
        <f t="shared" si="72"/>
        <v>2027</v>
      </c>
      <c r="N295" s="255"/>
    </row>
    <row r="296" spans="1:14" s="10" customFormat="1" ht="15" customHeight="1" outlineLevel="1">
      <c r="A296" s="247"/>
      <c r="B296" s="200" t="s">
        <v>63</v>
      </c>
      <c r="C296" s="161"/>
      <c r="D296" s="161"/>
      <c r="E296" s="161"/>
      <c r="F296" s="161"/>
      <c r="G296" s="161"/>
      <c r="H296" s="161"/>
      <c r="I296" s="228">
        <f>I216</f>
        <v>9987.4023761080061</v>
      </c>
      <c r="J296" s="228">
        <f>J216</f>
        <v>10594.313323367773</v>
      </c>
      <c r="K296" s="228">
        <f>K216</f>
        <v>10711.481600168969</v>
      </c>
      <c r="L296" s="228">
        <f>L216</f>
        <v>11077.003088518966</v>
      </c>
      <c r="M296" s="228">
        <f>M216</f>
        <v>10761.417341996996</v>
      </c>
      <c r="N296" s="255"/>
    </row>
    <row r="297" spans="1:14" s="10" customFormat="1" ht="15" customHeight="1" outlineLevel="1">
      <c r="A297" s="247"/>
      <c r="B297" s="229" t="s">
        <v>162</v>
      </c>
      <c r="C297" s="161"/>
      <c r="D297" s="161"/>
      <c r="E297" s="161"/>
      <c r="F297" s="161"/>
      <c r="G297" s="161"/>
      <c r="H297" s="13"/>
      <c r="I297" s="13"/>
      <c r="J297" s="13"/>
      <c r="K297" s="13"/>
      <c r="L297" s="13"/>
      <c r="M297" s="69">
        <f>M213</f>
        <v>138457.34099393256</v>
      </c>
      <c r="N297" s="255"/>
    </row>
    <row r="298" spans="1:14" s="10" customFormat="1" ht="15" customHeight="1" outlineLevel="1">
      <c r="A298" s="247"/>
      <c r="B298" s="200" t="s">
        <v>150</v>
      </c>
      <c r="C298" s="161"/>
      <c r="D298" s="161"/>
      <c r="E298" s="161"/>
      <c r="F298" s="161"/>
      <c r="G298" s="161"/>
      <c r="H298" s="152">
        <v>-20000</v>
      </c>
      <c r="I298" s="228">
        <f>SUM(I250:I251)</f>
        <v>9987.4023761080061</v>
      </c>
      <c r="J298" s="228">
        <f>SUM(J250:J251)</f>
        <v>10594.313323367773</v>
      </c>
      <c r="K298" s="228">
        <f>SUM(K250:K251)</f>
        <v>10711.481600168969</v>
      </c>
      <c r="L298" s="228">
        <f>SUM(L250:L251)</f>
        <v>11077.003088518966</v>
      </c>
      <c r="M298" s="228">
        <f>SUM(M250:M251)</f>
        <v>149218.75833592957</v>
      </c>
      <c r="N298" s="255"/>
    </row>
    <row r="299" spans="1:14" s="10" customFormat="1" ht="15" customHeight="1" outlineLevel="1">
      <c r="A299" s="247"/>
      <c r="B299" s="232"/>
      <c r="C299" s="161"/>
      <c r="D299" s="161"/>
      <c r="E299" s="161"/>
      <c r="F299" s="161"/>
      <c r="G299" s="161"/>
      <c r="H299" s="161"/>
      <c r="I299" s="161"/>
      <c r="J299" s="161"/>
      <c r="K299" s="161"/>
      <c r="L299" s="161"/>
      <c r="M299" s="161"/>
      <c r="N299" s="255"/>
    </row>
    <row r="300" spans="1:14" s="10" customFormat="1" ht="15" customHeight="1" outlineLevel="1">
      <c r="A300" s="247"/>
      <c r="B300" s="197" t="s">
        <v>169</v>
      </c>
      <c r="C300" s="161"/>
      <c r="D300" s="161"/>
      <c r="E300" s="161"/>
      <c r="F300" s="161"/>
      <c r="G300" s="161"/>
      <c r="H300" s="161"/>
      <c r="I300" s="161"/>
      <c r="J300" s="161"/>
      <c r="K300" s="161"/>
      <c r="L300" s="161"/>
      <c r="M300" s="161"/>
      <c r="N300" s="255"/>
    </row>
    <row r="301" spans="1:14" s="10" customFormat="1" ht="15" customHeight="1" outlineLevel="1">
      <c r="A301" s="247"/>
      <c r="B301" s="229" t="s">
        <v>170</v>
      </c>
      <c r="C301" s="161"/>
      <c r="D301" s="161"/>
      <c r="E301" s="161"/>
      <c r="F301" s="128">
        <f>IRR(H298:M298)</f>
        <v>0.78865199430887611</v>
      </c>
      <c r="G301" s="161"/>
      <c r="H301" s="161"/>
      <c r="I301" s="161"/>
      <c r="J301" s="161"/>
      <c r="K301" s="161"/>
      <c r="L301" s="161"/>
      <c r="M301" s="161"/>
      <c r="N301" s="255"/>
    </row>
    <row r="302" spans="1:14" s="10" customFormat="1" ht="15" customHeight="1" outlineLevel="1">
      <c r="A302" s="247"/>
      <c r="B302" s="232"/>
      <c r="C302" s="161"/>
      <c r="D302" s="161"/>
      <c r="E302" s="161"/>
      <c r="F302" s="161"/>
      <c r="G302" s="161"/>
      <c r="H302" s="161"/>
      <c r="I302" s="161"/>
      <c r="J302" s="161"/>
      <c r="K302" s="161"/>
      <c r="L302" s="161"/>
      <c r="M302" s="161"/>
      <c r="N302" s="255"/>
    </row>
    <row r="303" spans="1:14" s="10" customFormat="1" ht="15" customHeight="1" outlineLevel="1">
      <c r="A303" s="247"/>
      <c r="B303" s="197" t="s">
        <v>175</v>
      </c>
      <c r="C303" s="161"/>
      <c r="D303" s="161"/>
      <c r="E303" s="161"/>
      <c r="F303" s="161"/>
      <c r="G303" s="161"/>
      <c r="H303" s="161"/>
      <c r="I303" s="161"/>
      <c r="J303" s="161"/>
      <c r="K303" s="161"/>
      <c r="L303" s="161"/>
      <c r="M303" s="161"/>
      <c r="N303" s="255"/>
    </row>
    <row r="304" spans="1:14" s="10" customFormat="1" ht="15" customHeight="1" outlineLevel="1">
      <c r="A304" s="247"/>
      <c r="B304" s="229" t="s">
        <v>170</v>
      </c>
      <c r="C304" s="161"/>
      <c r="D304" s="161"/>
      <c r="E304" s="161"/>
      <c r="F304" s="128">
        <f>XIRR(H298:M298,H291:M291)</f>
        <v>0.78799957036972068</v>
      </c>
      <c r="G304" s="161"/>
      <c r="H304" s="161"/>
      <c r="I304" s="161"/>
      <c r="J304" s="161"/>
      <c r="K304" s="161"/>
      <c r="L304" s="161"/>
      <c r="M304" s="161"/>
      <c r="N304" s="255"/>
    </row>
    <row r="305" spans="1:16" s="10" customFormat="1" ht="15" customHeight="1" outlineLevel="1">
      <c r="A305" s="247"/>
      <c r="B305" s="229"/>
      <c r="C305" s="161"/>
      <c r="D305" s="161"/>
      <c r="E305" s="161"/>
      <c r="F305" s="233"/>
      <c r="G305" s="161"/>
      <c r="H305" s="161"/>
      <c r="I305" s="161"/>
      <c r="J305" s="161"/>
      <c r="K305" s="161"/>
      <c r="L305" s="161"/>
      <c r="M305" s="161"/>
      <c r="N305" s="255"/>
    </row>
    <row r="306" spans="1:16" s="10" customFormat="1" ht="15" customHeight="1" outlineLevel="1">
      <c r="A306" s="247"/>
      <c r="B306" s="197" t="s">
        <v>221</v>
      </c>
      <c r="C306" s="161"/>
      <c r="D306" s="161"/>
      <c r="E306" s="161"/>
      <c r="F306" s="233"/>
      <c r="G306" s="161"/>
      <c r="H306" s="161"/>
      <c r="I306" s="161"/>
      <c r="J306" s="161"/>
      <c r="K306" s="161"/>
      <c r="L306" s="161"/>
      <c r="M306" s="161"/>
      <c r="N306" s="255"/>
    </row>
    <row r="307" spans="1:16" s="10" customFormat="1" ht="15" customHeight="1" outlineLevel="1">
      <c r="A307" s="247"/>
      <c r="B307" s="229" t="s">
        <v>170</v>
      </c>
      <c r="C307" s="161"/>
      <c r="D307" s="161"/>
      <c r="E307" s="161"/>
      <c r="F307" s="128">
        <f>XIRR(H298:M298,H292:M292)</f>
        <v>1.0132969021797178</v>
      </c>
      <c r="G307" s="161"/>
      <c r="H307" s="161"/>
      <c r="I307" s="161"/>
      <c r="J307" s="161"/>
      <c r="K307" s="161"/>
      <c r="L307" s="161"/>
      <c r="M307" s="161"/>
      <c r="N307" s="255"/>
    </row>
    <row r="308" spans="1:16" s="10" customFormat="1" ht="15" customHeight="1" outlineLevel="1">
      <c r="A308" s="247"/>
      <c r="B308" s="232"/>
      <c r="C308" s="161"/>
      <c r="D308" s="161"/>
      <c r="E308" s="161"/>
      <c r="F308" s="161"/>
      <c r="G308" s="161"/>
      <c r="H308" s="161"/>
      <c r="I308" s="161"/>
      <c r="J308" s="161"/>
      <c r="K308" s="161"/>
      <c r="L308" s="161"/>
      <c r="M308" s="161"/>
      <c r="N308" s="266" t="s">
        <v>171</v>
      </c>
    </row>
    <row r="309" spans="1:16" s="10" customFormat="1" ht="15" customHeight="1" outlineLevel="1">
      <c r="A309" s="247"/>
      <c r="B309" s="161"/>
      <c r="C309" s="161"/>
      <c r="D309" s="161"/>
      <c r="E309" s="161"/>
      <c r="F309" s="161"/>
      <c r="G309" s="161"/>
      <c r="H309" s="161"/>
      <c r="I309" s="161"/>
      <c r="J309" s="161"/>
      <c r="K309" s="161"/>
      <c r="L309" s="161"/>
      <c r="M309" s="161"/>
      <c r="N309" s="267" t="s">
        <v>172</v>
      </c>
    </row>
    <row r="310" spans="1:16" s="10" customFormat="1" ht="15" customHeight="1" outlineLevel="1">
      <c r="A310" s="247"/>
      <c r="B310" s="161"/>
      <c r="C310" s="161"/>
      <c r="D310" s="161"/>
      <c r="E310" s="161"/>
      <c r="F310" s="161"/>
      <c r="G310" s="161"/>
      <c r="H310" s="161"/>
      <c r="I310" s="161"/>
      <c r="J310" s="161"/>
      <c r="K310" s="161"/>
      <c r="L310" s="161"/>
      <c r="M310" s="161"/>
      <c r="N310" s="267"/>
    </row>
    <row r="311" spans="1:16" s="10" customFormat="1" ht="15" customHeight="1" outlineLevel="1">
      <c r="A311" s="247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272"/>
    </row>
    <row r="312" spans="1:16" s="10" customFormat="1" ht="15" customHeight="1">
      <c r="A312" s="247"/>
      <c r="B312" s="161"/>
      <c r="C312" s="161"/>
      <c r="D312" s="161"/>
      <c r="E312" s="161"/>
      <c r="F312" s="161"/>
      <c r="G312" s="161"/>
      <c r="H312" s="161"/>
      <c r="I312" s="161"/>
      <c r="J312" s="161"/>
      <c r="K312" s="161"/>
      <c r="L312" s="161"/>
      <c r="M312" s="161"/>
      <c r="N312" s="255"/>
    </row>
    <row r="313" spans="1:16" s="10" customFormat="1" ht="15" customHeight="1">
      <c r="A313" s="247" t="s">
        <v>21</v>
      </c>
      <c r="B313" s="407" t="s">
        <v>183</v>
      </c>
      <c r="C313" s="407"/>
      <c r="D313" s="407"/>
      <c r="E313" s="407"/>
      <c r="F313" s="409"/>
      <c r="G313" s="409"/>
      <c r="H313" s="409"/>
      <c r="I313" s="410"/>
      <c r="J313" s="411"/>
      <c r="K313" s="411"/>
      <c r="L313" s="411"/>
      <c r="M313" s="411"/>
      <c r="N313" s="413"/>
    </row>
    <row r="314" spans="1:16" s="10" customFormat="1" ht="15" customHeight="1" outlineLevel="1">
      <c r="A314" s="247"/>
      <c r="B314" s="161"/>
      <c r="C314" s="161"/>
      <c r="D314" s="161"/>
      <c r="E314" s="161"/>
      <c r="F314" s="161"/>
      <c r="G314" s="161"/>
      <c r="H314" s="161"/>
      <c r="I314" s="161"/>
      <c r="J314" s="161"/>
      <c r="K314" s="161"/>
      <c r="L314" s="161"/>
      <c r="M314" s="161"/>
      <c r="N314" s="255"/>
    </row>
    <row r="315" spans="1:16" s="10" customFormat="1" ht="15" customHeight="1" outlineLevel="1">
      <c r="A315" s="247"/>
      <c r="B315" s="161"/>
      <c r="C315" s="161"/>
      <c r="D315" s="94" t="s">
        <v>199</v>
      </c>
      <c r="E315" s="95"/>
      <c r="F315" s="95"/>
      <c r="G315" s="95"/>
      <c r="H315" s="95"/>
      <c r="I315" s="161"/>
      <c r="J315" s="161"/>
      <c r="K315" s="161"/>
      <c r="L315" s="161"/>
      <c r="M315" s="161"/>
      <c r="N315" s="255"/>
    </row>
    <row r="316" spans="1:16" s="10" customFormat="1" ht="15" customHeight="1" outlineLevel="1">
      <c r="A316" s="247"/>
      <c r="B316" s="161"/>
      <c r="C316" s="161"/>
      <c r="D316" s="234"/>
      <c r="E316" s="235"/>
      <c r="F316" s="235"/>
      <c r="G316" s="235"/>
      <c r="H316" s="235"/>
      <c r="I316" s="161"/>
      <c r="J316" s="161"/>
      <c r="K316" s="161"/>
      <c r="L316" s="161"/>
      <c r="M316" s="161"/>
      <c r="N316" s="255"/>
    </row>
    <row r="317" spans="1:16" s="10" customFormat="1" ht="15" customHeight="1" outlineLevel="1">
      <c r="A317" s="247"/>
      <c r="B317" s="161"/>
      <c r="C317" s="161"/>
      <c r="D317" s="236" t="s">
        <v>200</v>
      </c>
      <c r="E317" s="237"/>
      <c r="F317" s="237"/>
      <c r="G317" s="237"/>
      <c r="H317" s="237"/>
      <c r="I317" s="161"/>
      <c r="J317" s="161"/>
      <c r="K317" s="161"/>
      <c r="L317" s="161"/>
      <c r="M317" s="161"/>
      <c r="N317" s="255"/>
    </row>
    <row r="318" spans="1:16" ht="15" customHeight="1" outlineLevel="1">
      <c r="A318" s="251"/>
      <c r="B318" s="238"/>
      <c r="C318" s="239">
        <f>E233</f>
        <v>6.1904989916296298</v>
      </c>
      <c r="D318" s="86">
        <f>+E318-0.01</f>
        <v>0</v>
      </c>
      <c r="E318" s="86">
        <f>+F318-0.01</f>
        <v>0.01</v>
      </c>
      <c r="F318" s="140">
        <v>0.02</v>
      </c>
      <c r="G318" s="86">
        <f>+F318+0.01</f>
        <v>0.03</v>
      </c>
      <c r="H318" s="86">
        <f>+G318+0.01</f>
        <v>0.04</v>
      </c>
      <c r="I318" s="238"/>
      <c r="J318" s="238"/>
      <c r="K318" s="238"/>
      <c r="L318" s="238"/>
      <c r="M318" s="238"/>
      <c r="N318" s="273"/>
      <c r="P318"/>
    </row>
    <row r="319" spans="1:16" ht="15" customHeight="1" outlineLevel="1">
      <c r="A319" s="251"/>
      <c r="B319" s="240" t="s">
        <v>66</v>
      </c>
      <c r="C319" s="87">
        <f>+C320+0.01</f>
        <v>0.13274</v>
      </c>
      <c r="D319" s="105">
        <f t="dataTable" ref="D319:H323" dt2D="1" dtr="1" r1="C185" r2="E178" ca="1"/>
        <v>5.0904490071280213</v>
      </c>
      <c r="E319" s="241">
        <v>5.2077588595726327</v>
      </c>
      <c r="F319" s="241">
        <v>5.3458794007603005</v>
      </c>
      <c r="G319" s="241">
        <v>5.5108873355994517</v>
      </c>
      <c r="H319" s="241">
        <v>5.7114803329443502</v>
      </c>
      <c r="I319" s="238"/>
      <c r="J319" s="238"/>
      <c r="K319" s="238"/>
      <c r="L319" s="238"/>
      <c r="M319" s="238"/>
      <c r="N319" s="273"/>
    </row>
    <row r="320" spans="1:16" ht="15" customHeight="1" outlineLevel="1">
      <c r="A320" s="251"/>
      <c r="B320" s="240"/>
      <c r="C320" s="87">
        <f>+C321+0.01</f>
        <v>0.12273999999999999</v>
      </c>
      <c r="D320" s="241">
        <v>5.4233904769151051</v>
      </c>
      <c r="E320" s="241">
        <v>5.5664979905822598</v>
      </c>
      <c r="F320" s="241">
        <v>5.7374636926214535</v>
      </c>
      <c r="G320" s="241">
        <v>5.9452992894286432</v>
      </c>
      <c r="H320" s="241">
        <v>6.2033731257347897</v>
      </c>
      <c r="I320" s="238"/>
      <c r="J320" s="238"/>
      <c r="K320" s="238"/>
      <c r="L320" s="238"/>
      <c r="M320" s="238"/>
      <c r="N320" s="273"/>
    </row>
    <row r="321" spans="1:14" ht="15" customHeight="1" outlineLevel="1">
      <c r="A321" s="251"/>
      <c r="B321" s="240"/>
      <c r="C321" s="141">
        <v>0.11273999999999999</v>
      </c>
      <c r="D321" s="241">
        <v>5.7978961473234722</v>
      </c>
      <c r="E321" s="241">
        <v>5.9750909486713066</v>
      </c>
      <c r="F321" s="89">
        <v>6.1904989916296298</v>
      </c>
      <c r="G321" s="241">
        <v>6.4579756937511936</v>
      </c>
      <c r="H321" s="241">
        <v>6.7989956188921576</v>
      </c>
      <c r="I321" s="238"/>
      <c r="J321" s="238"/>
      <c r="K321" s="238"/>
      <c r="L321" s="238"/>
      <c r="M321" s="238"/>
      <c r="N321" s="273"/>
    </row>
    <row r="322" spans="1:14" ht="15" customHeight="1" outlineLevel="1">
      <c r="A322" s="251"/>
      <c r="B322" s="240"/>
      <c r="C322" s="87">
        <f>+C321-0.01</f>
        <v>0.10274</v>
      </c>
      <c r="D322" s="241">
        <v>6.2244306013449711</v>
      </c>
      <c r="E322" s="241">
        <v>6.4477591289473191</v>
      </c>
      <c r="F322" s="241">
        <v>6.7250708636084875</v>
      </c>
      <c r="G322" s="241">
        <v>7.0786299820093239</v>
      </c>
      <c r="H322" s="241">
        <v>7.5448952267731961</v>
      </c>
      <c r="I322" s="238"/>
      <c r="J322" s="238"/>
      <c r="K322" s="238"/>
      <c r="L322" s="238"/>
      <c r="M322" s="238"/>
      <c r="N322" s="273"/>
    </row>
    <row r="323" spans="1:14" ht="15" customHeight="1" outlineLevel="1">
      <c r="A323" s="251"/>
      <c r="B323" s="240"/>
      <c r="C323" s="87">
        <f>+C322-0.01</f>
        <v>9.2740000000000003E-2</v>
      </c>
      <c r="D323" s="241">
        <v>6.7178072274274498</v>
      </c>
      <c r="E323" s="241">
        <v>7.0054102174353678</v>
      </c>
      <c r="F323" s="241">
        <v>7.3720901912233012</v>
      </c>
      <c r="G323" s="241">
        <v>7.8556589038661686</v>
      </c>
      <c r="H323" s="241">
        <v>8.5226059679094437</v>
      </c>
      <c r="I323" s="238"/>
      <c r="J323" s="238"/>
      <c r="K323" s="238"/>
      <c r="L323" s="238"/>
      <c r="M323" s="238"/>
      <c r="N323" s="273"/>
    </row>
    <row r="324" spans="1:14" ht="15" customHeight="1" outlineLevel="1">
      <c r="A324" s="251"/>
      <c r="B324" s="238"/>
      <c r="C324" s="238"/>
      <c r="D324" s="238"/>
      <c r="E324" s="238"/>
      <c r="F324" s="238"/>
      <c r="G324" s="238"/>
      <c r="H324" s="238"/>
      <c r="I324" s="238"/>
      <c r="J324" s="238"/>
      <c r="K324" s="238"/>
      <c r="L324" s="238"/>
      <c r="M324" s="238"/>
      <c r="N324" s="273"/>
    </row>
    <row r="325" spans="1:14" ht="15" customHeight="1" outlineLevel="1">
      <c r="A325" s="251"/>
      <c r="B325" s="238"/>
      <c r="C325" s="238"/>
      <c r="D325" s="238"/>
      <c r="E325" s="238"/>
      <c r="F325" s="238"/>
      <c r="G325" s="238"/>
      <c r="H325" s="238"/>
      <c r="I325" s="238"/>
      <c r="J325" s="238"/>
      <c r="K325" s="238"/>
      <c r="L325" s="238"/>
      <c r="M325" s="238"/>
      <c r="N325" s="273"/>
    </row>
    <row r="326" spans="1:14" ht="15" customHeight="1" outlineLevel="1">
      <c r="A326" s="251"/>
      <c r="B326" s="161"/>
      <c r="C326" s="161"/>
      <c r="D326" s="94" t="s">
        <v>199</v>
      </c>
      <c r="E326" s="95"/>
      <c r="F326" s="95"/>
      <c r="G326" s="95"/>
      <c r="H326" s="95"/>
      <c r="I326" s="238"/>
      <c r="J326" s="238"/>
      <c r="K326" s="238"/>
      <c r="L326" s="238"/>
      <c r="M326" s="238"/>
      <c r="N326" s="273"/>
    </row>
    <row r="327" spans="1:14" ht="15" customHeight="1" outlineLevel="1">
      <c r="A327" s="251"/>
      <c r="B327" s="161"/>
      <c r="C327" s="161"/>
      <c r="D327" s="234"/>
      <c r="E327" s="235"/>
      <c r="F327" s="235"/>
      <c r="G327" s="235"/>
      <c r="H327" s="235"/>
      <c r="I327" s="238"/>
      <c r="J327" s="238"/>
      <c r="K327" s="238"/>
      <c r="L327" s="238"/>
      <c r="M327" s="238"/>
      <c r="N327" s="273"/>
    </row>
    <row r="328" spans="1:14" ht="15" customHeight="1" outlineLevel="1">
      <c r="A328" s="251"/>
      <c r="B328" s="161"/>
      <c r="C328" s="161"/>
      <c r="D328" s="236" t="s">
        <v>65</v>
      </c>
      <c r="E328" s="237"/>
      <c r="F328" s="237"/>
      <c r="G328" s="237"/>
      <c r="H328" s="237"/>
      <c r="I328" s="238"/>
      <c r="J328" s="238"/>
      <c r="K328" s="238"/>
      <c r="L328" s="238"/>
      <c r="M328" s="238"/>
      <c r="N328" s="273"/>
    </row>
    <row r="329" spans="1:14" ht="15" customHeight="1" outlineLevel="1">
      <c r="A329" s="251"/>
      <c r="B329" s="238"/>
      <c r="C329" s="239">
        <f>E233</f>
        <v>6.1904989916296298</v>
      </c>
      <c r="D329" s="96">
        <f>+E329-1</f>
        <v>5.2371121197988533</v>
      </c>
      <c r="E329" s="96">
        <f>+F329-1</f>
        <v>6.2371121197988533</v>
      </c>
      <c r="F329" s="142">
        <v>7.2371121197988533</v>
      </c>
      <c r="G329" s="96">
        <f>F329+1</f>
        <v>8.2371121197988533</v>
      </c>
      <c r="H329" s="96">
        <f>G329+1</f>
        <v>9.2371121197988533</v>
      </c>
      <c r="I329" s="238"/>
      <c r="J329" s="238"/>
      <c r="K329" s="238"/>
      <c r="L329" s="238"/>
      <c r="M329" s="238"/>
      <c r="N329" s="273"/>
    </row>
    <row r="330" spans="1:14" ht="15" customHeight="1" outlineLevel="1">
      <c r="A330" s="251"/>
      <c r="B330" s="240" t="s">
        <v>239</v>
      </c>
      <c r="C330" s="87">
        <f>+C331+0.01</f>
        <v>0.13274</v>
      </c>
      <c r="D330" s="105">
        <f t="dataTable" ref="D330:H334" dt2D="1" dtr="1" r1="C197" r2="E178"/>
        <v>4.6588611592877118</v>
      </c>
      <c r="E330" s="241">
        <v>5.0023702800240057</v>
      </c>
      <c r="F330" s="241">
        <v>5.3458794007603005</v>
      </c>
      <c r="G330" s="241">
        <v>5.6893885214965945</v>
      </c>
      <c r="H330" s="241">
        <v>6.0328976422328893</v>
      </c>
      <c r="I330" s="238"/>
      <c r="J330" s="238"/>
      <c r="K330" s="238"/>
      <c r="L330" s="238"/>
      <c r="M330" s="238"/>
      <c r="N330" s="273"/>
    </row>
    <row r="331" spans="1:14" ht="15" customHeight="1" outlineLevel="1">
      <c r="A331" s="251"/>
      <c r="B331" s="240"/>
      <c r="C331" s="87">
        <f>+C332+0.01</f>
        <v>0.12273999999999999</v>
      </c>
      <c r="D331" s="241">
        <v>5.0192999511210248</v>
      </c>
      <c r="E331" s="241">
        <v>5.3783818218712387</v>
      </c>
      <c r="F331" s="241">
        <v>5.7374636926214535</v>
      </c>
      <c r="G331" s="241">
        <v>6.0965455633716674</v>
      </c>
      <c r="H331" s="241">
        <v>6.455627434121884</v>
      </c>
      <c r="I331" s="238"/>
      <c r="J331" s="238"/>
      <c r="K331" s="238"/>
      <c r="L331" s="238"/>
      <c r="M331" s="238"/>
      <c r="N331" s="273"/>
    </row>
    <row r="332" spans="1:14" ht="15" customHeight="1" outlineLevel="1">
      <c r="A332" s="251"/>
      <c r="B332" s="240"/>
      <c r="C332" s="141">
        <v>0.11273999999999999</v>
      </c>
      <c r="D332" s="241">
        <v>5.4394799429583909</v>
      </c>
      <c r="E332" s="241">
        <v>5.8149894672940112</v>
      </c>
      <c r="F332" s="89">
        <v>6.1904989916296298</v>
      </c>
      <c r="G332" s="241">
        <v>6.5660085159652501</v>
      </c>
      <c r="H332" s="241">
        <v>6.9415180403008678</v>
      </c>
      <c r="I332" s="238"/>
      <c r="J332" s="238"/>
      <c r="K332" s="238"/>
      <c r="L332" s="238"/>
      <c r="M332" s="238"/>
      <c r="N332" s="273"/>
    </row>
    <row r="333" spans="1:14" ht="15" customHeight="1" outlineLevel="1">
      <c r="A333" s="251"/>
      <c r="B333" s="240"/>
      <c r="C333" s="87">
        <f>+C332-0.01</f>
        <v>0.10274</v>
      </c>
      <c r="D333" s="241">
        <v>5.9393761845883404</v>
      </c>
      <c r="E333" s="241">
        <v>6.3322235240984144</v>
      </c>
      <c r="F333" s="241">
        <v>6.7250708636084875</v>
      </c>
      <c r="G333" s="241">
        <v>7.1179182031185615</v>
      </c>
      <c r="H333" s="241">
        <v>7.5107655426286346</v>
      </c>
      <c r="I333" s="238"/>
      <c r="J333" s="238"/>
      <c r="K333" s="238"/>
      <c r="L333" s="238"/>
      <c r="M333" s="238"/>
      <c r="N333" s="273"/>
    </row>
    <row r="334" spans="1:14" ht="15" customHeight="1" outlineLevel="1" thickBot="1">
      <c r="A334" s="382"/>
      <c r="B334" s="433"/>
      <c r="C334" s="383">
        <f>+C333-0.01</f>
        <v>9.2740000000000003E-2</v>
      </c>
      <c r="D334" s="384">
        <v>6.5497808029360725</v>
      </c>
      <c r="E334" s="384">
        <v>6.9609354970796868</v>
      </c>
      <c r="F334" s="384">
        <v>7.3720901912233012</v>
      </c>
      <c r="G334" s="384">
        <v>7.7832448853669147</v>
      </c>
      <c r="H334" s="384">
        <v>8.1943995795105291</v>
      </c>
      <c r="I334" s="385"/>
      <c r="J334" s="385"/>
      <c r="K334" s="385"/>
      <c r="L334" s="385"/>
      <c r="M334" s="385"/>
      <c r="N334" s="386"/>
    </row>
    <row r="335" spans="1:14" ht="15" customHeight="1" outlineLevel="1" thickTop="1"/>
    <row r="336" spans="1:14" ht="15" customHeight="1"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79"/>
    </row>
  </sheetData>
  <mergeCells count="2">
    <mergeCell ref="B319:B323"/>
    <mergeCell ref="B330:B334"/>
  </mergeCells>
  <conditionalFormatting sqref="F107:M107">
    <cfRule type="expression" dxfId="0" priority="4">
      <formula>F107&lt;&gt;0</formula>
    </cfRule>
  </conditionalFormatting>
  <hyperlinks>
    <hyperlink ref="B334" r:id="rId1" tooltip="Visit Zaigham Ali's portfolio" display="© Zaigham Ali, ACCA, CPA, CFA L1  |  https://szaighamali.github.io/zaighamali.github.io" xr:uid="{0601D775-7EC2-4E6A-A6C7-34EB0E83E3D4}"/>
  </hyperlinks>
  <printOptions horizontalCentered="1"/>
  <pageMargins left="0.118110236220472" right="0.118110236220472" top="0.118110236220472" bottom="0.118110236220472" header="0.118110236220472" footer="0.118110236220472"/>
  <pageSetup scale="82" orientation="landscape" r:id="rId2"/>
  <headerFooter alignWithMargins="0">
    <oddFooter>&amp;L&amp;"Open Sans,Bold"&amp;10&amp;K002060Introduction to Business Valuation&amp;C&amp;"Open Sans,Bold"&amp;10&amp;K002060Page &amp;P of &amp;N&amp;R&amp;G</oddFooter>
  </headerFooter>
  <colBreaks count="1" manualBreakCount="1">
    <brk id="15" max="419" man="1"/>
  </colBreaks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588EC-2290-4971-BAD0-2BBA984F1824}">
  <sheetPr>
    <pageSetUpPr autoPageBreaks="0" fitToPage="1"/>
  </sheetPr>
  <dimension ref="A1:Z75"/>
  <sheetViews>
    <sheetView showGridLines="0" zoomScale="85" zoomScaleNormal="85" zoomScaleSheetLayoutView="85" workbookViewId="0">
      <pane ySplit="1" topLeftCell="A2" activePane="bottomLeft" state="frozen"/>
      <selection activeCell="B26" sqref="B26"/>
      <selection pane="bottomLeft" activeCell="Q11" sqref="Q11"/>
    </sheetView>
  </sheetViews>
  <sheetFormatPr defaultColWidth="9.109375" defaultRowHeight="15" customHeight="1" outlineLevelRow="1"/>
  <cols>
    <col min="1" max="1" width="9.109375" style="10" customWidth="1"/>
    <col min="2" max="2" width="20.33203125" style="10" customWidth="1"/>
    <col min="3" max="3" width="12.6640625" style="10" customWidth="1"/>
    <col min="4" max="4" width="8.88671875" style="10" customWidth="1"/>
    <col min="5" max="17" width="10.88671875" style="10" customWidth="1"/>
    <col min="18" max="16384" width="9.109375" style="10"/>
  </cols>
  <sheetData>
    <row r="1" spans="1:26" ht="55.05" customHeight="1" thickTop="1">
      <c r="A1" s="244"/>
      <c r="B1" s="243" t="s">
        <v>231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52"/>
    </row>
    <row r="2" spans="1:26" s="2" customFormat="1" ht="15" customHeight="1">
      <c r="A2" s="245"/>
      <c r="B2" s="148"/>
      <c r="C2" s="149"/>
      <c r="D2" s="150"/>
      <c r="E2" s="151"/>
      <c r="F2" s="152"/>
      <c r="G2" s="152"/>
      <c r="H2" s="152"/>
      <c r="I2" s="153"/>
      <c r="J2" s="153"/>
      <c r="K2" s="153"/>
      <c r="L2" s="153"/>
      <c r="M2" s="153"/>
      <c r="N2" s="154"/>
      <c r="O2" s="154"/>
      <c r="P2" s="147"/>
      <c r="Q2" s="256"/>
    </row>
    <row r="3" spans="1:26" ht="15" customHeight="1">
      <c r="A3" s="246" t="s">
        <v>21</v>
      </c>
      <c r="B3" s="407" t="s">
        <v>153</v>
      </c>
      <c r="C3" s="407"/>
      <c r="D3" s="407"/>
      <c r="E3" s="407"/>
      <c r="F3" s="409"/>
      <c r="G3" s="409"/>
      <c r="H3" s="409"/>
      <c r="I3" s="410"/>
      <c r="J3" s="411"/>
      <c r="K3" s="411"/>
      <c r="L3" s="411"/>
      <c r="M3" s="411"/>
      <c r="N3" s="411"/>
      <c r="O3" s="411"/>
      <c r="P3" s="411"/>
      <c r="Q3" s="413"/>
    </row>
    <row r="4" spans="1:26" ht="15" customHeight="1" outlineLevel="1">
      <c r="A4" s="247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255"/>
    </row>
    <row r="5" spans="1:26" ht="15" customHeight="1" outlineLevel="1">
      <c r="A5" s="247"/>
      <c r="B5" s="159" t="s">
        <v>5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255"/>
    </row>
    <row r="6" spans="1:26" ht="15" customHeight="1" outlineLevel="1">
      <c r="A6" s="247"/>
      <c r="B6" s="159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255"/>
    </row>
    <row r="7" spans="1:26" ht="15" customHeight="1" outlineLevel="1">
      <c r="A7" s="247"/>
      <c r="B7" s="159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255"/>
    </row>
    <row r="8" spans="1:26" s="42" customFormat="1" ht="14.4" customHeight="1" outlineLevel="1">
      <c r="A8" s="344"/>
      <c r="B8" s="274" t="s">
        <v>21</v>
      </c>
      <c r="C8" s="161"/>
      <c r="D8" s="274"/>
      <c r="E8" s="275" t="s">
        <v>177</v>
      </c>
      <c r="F8" s="275" t="s">
        <v>202</v>
      </c>
      <c r="G8" s="275" t="s">
        <v>83</v>
      </c>
      <c r="H8" s="275" t="s">
        <v>206</v>
      </c>
      <c r="I8" s="275" t="s">
        <v>82</v>
      </c>
      <c r="J8" s="276" t="s">
        <v>10</v>
      </c>
      <c r="K8" s="277"/>
      <c r="L8" s="276" t="s">
        <v>13</v>
      </c>
      <c r="M8" s="277"/>
      <c r="N8" s="276" t="s">
        <v>84</v>
      </c>
      <c r="O8" s="276"/>
      <c r="P8" s="276" t="s">
        <v>229</v>
      </c>
      <c r="Q8" s="348"/>
    </row>
    <row r="9" spans="1:26" s="42" customFormat="1" ht="16.2" outlineLevel="1">
      <c r="A9" s="345"/>
      <c r="B9" s="279" t="s">
        <v>85</v>
      </c>
      <c r="C9" s="280" t="s">
        <v>123</v>
      </c>
      <c r="D9" s="280" t="s">
        <v>117</v>
      </c>
      <c r="E9" s="281" t="s">
        <v>180</v>
      </c>
      <c r="F9" s="281" t="s">
        <v>209</v>
      </c>
      <c r="G9" s="281" t="s">
        <v>87</v>
      </c>
      <c r="H9" s="281" t="s">
        <v>207</v>
      </c>
      <c r="I9" s="281" t="s">
        <v>86</v>
      </c>
      <c r="J9" s="282">
        <v>2022</v>
      </c>
      <c r="K9" s="283">
        <v>2023</v>
      </c>
      <c r="L9" s="282">
        <v>2022</v>
      </c>
      <c r="M9" s="283">
        <v>2023</v>
      </c>
      <c r="N9" s="282">
        <v>2022</v>
      </c>
      <c r="O9" s="283">
        <v>2023</v>
      </c>
      <c r="P9" s="282">
        <v>2022</v>
      </c>
      <c r="Q9" s="349">
        <v>2023</v>
      </c>
      <c r="R9"/>
      <c r="Z9" s="43"/>
    </row>
    <row r="10" spans="1:26" s="42" customFormat="1" ht="15" customHeight="1" outlineLevel="1">
      <c r="A10" s="345"/>
      <c r="B10" s="278"/>
      <c r="C10" s="278"/>
      <c r="D10" s="278"/>
      <c r="E10" s="284" t="s">
        <v>203</v>
      </c>
      <c r="F10" s="284" t="s">
        <v>205</v>
      </c>
      <c r="G10" s="285"/>
      <c r="H10" s="278"/>
      <c r="I10" s="285"/>
      <c r="J10" s="285"/>
      <c r="K10" s="285"/>
      <c r="L10" s="285"/>
      <c r="M10" s="285"/>
      <c r="N10" s="286" t="s">
        <v>204</v>
      </c>
      <c r="O10" s="286" t="s">
        <v>204</v>
      </c>
      <c r="P10" s="286" t="s">
        <v>204</v>
      </c>
      <c r="Q10" s="350" t="s">
        <v>204</v>
      </c>
      <c r="S10"/>
    </row>
    <row r="11" spans="1:26" s="44" customFormat="1" ht="15" customHeight="1" outlineLevel="1">
      <c r="A11" s="346"/>
      <c r="B11" s="288" t="s">
        <v>88</v>
      </c>
      <c r="C11" s="289" t="s">
        <v>201</v>
      </c>
      <c r="D11" s="290" t="s">
        <v>119</v>
      </c>
      <c r="E11" s="291">
        <v>21.698492861715472</v>
      </c>
      <c r="F11" s="292">
        <v>368.32051197901291</v>
      </c>
      <c r="G11" s="293">
        <f>E11*F11</f>
        <v>7992</v>
      </c>
      <c r="H11" s="294">
        <v>2150</v>
      </c>
      <c r="I11" s="293">
        <f>G11+H11</f>
        <v>10142</v>
      </c>
      <c r="J11" s="179">
        <v>1086</v>
      </c>
      <c r="K11" s="179">
        <v>1096.8599999999999</v>
      </c>
      <c r="L11" s="179">
        <v>553</v>
      </c>
      <c r="M11" s="179">
        <v>586.18000000000006</v>
      </c>
      <c r="N11" s="295">
        <f t="shared" ref="N11:N20" si="0">IFERROR($I11/J11,"NA")</f>
        <v>9.3388581952117864</v>
      </c>
      <c r="O11" s="295">
        <f t="shared" ref="O11:O20" si="1">IFERROR($I11/K11,"NA")</f>
        <v>9.2463942526849383</v>
      </c>
      <c r="P11" s="295">
        <f t="shared" ref="P11:P20" si="2">IFERROR($G11/L11,"NA")</f>
        <v>14.452079566003617</v>
      </c>
      <c r="Q11" s="351">
        <f t="shared" ref="Q11:Q20" si="3">IFERROR($G11/M11,"NA")</f>
        <v>13.634037326418504</v>
      </c>
      <c r="S11"/>
      <c r="T11"/>
    </row>
    <row r="12" spans="1:26" s="44" customFormat="1" ht="15" customHeight="1" outlineLevel="1">
      <c r="A12" s="346"/>
      <c r="B12" s="288" t="s">
        <v>89</v>
      </c>
      <c r="C12" s="289" t="s">
        <v>201</v>
      </c>
      <c r="D12" s="290" t="s">
        <v>120</v>
      </c>
      <c r="E12" s="291">
        <v>35.877385404688418</v>
      </c>
      <c r="F12" s="292">
        <v>300.91378951458347</v>
      </c>
      <c r="G12" s="293">
        <f t="shared" ref="G12:G20" si="4">E12*F12</f>
        <v>10796</v>
      </c>
      <c r="H12" s="294">
        <v>50</v>
      </c>
      <c r="I12" s="293">
        <f t="shared" ref="I12:I20" si="5">G12+H12</f>
        <v>10846</v>
      </c>
      <c r="J12" s="179">
        <v>2169</v>
      </c>
      <c r="K12" s="179">
        <v>2212.38</v>
      </c>
      <c r="L12" s="179">
        <v>770</v>
      </c>
      <c r="M12" s="179">
        <v>808.5</v>
      </c>
      <c r="N12" s="295">
        <f t="shared" si="0"/>
        <v>5.0004610419548179</v>
      </c>
      <c r="O12" s="295">
        <f t="shared" si="1"/>
        <v>4.9024127862302134</v>
      </c>
      <c r="P12" s="295">
        <f t="shared" si="2"/>
        <v>14.02077922077922</v>
      </c>
      <c r="Q12" s="351">
        <f t="shared" si="3"/>
        <v>13.353123067408781</v>
      </c>
      <c r="R12" s="45"/>
      <c r="S12"/>
      <c r="T12"/>
    </row>
    <row r="13" spans="1:26" s="44" customFormat="1" ht="15" customHeight="1" outlineLevel="1">
      <c r="A13" s="346"/>
      <c r="B13" s="288" t="s">
        <v>90</v>
      </c>
      <c r="C13" s="289" t="s">
        <v>201</v>
      </c>
      <c r="D13" s="290" t="s">
        <v>120</v>
      </c>
      <c r="E13" s="291">
        <v>15.374632440897289</v>
      </c>
      <c r="F13" s="292">
        <v>669.99975704126928</v>
      </c>
      <c r="G13" s="293">
        <f t="shared" si="4"/>
        <v>10301</v>
      </c>
      <c r="H13" s="294">
        <v>1283</v>
      </c>
      <c r="I13" s="293">
        <f t="shared" si="5"/>
        <v>11584</v>
      </c>
      <c r="J13" s="179">
        <v>1530</v>
      </c>
      <c r="K13" s="179">
        <v>1575.9</v>
      </c>
      <c r="L13" s="179">
        <v>632</v>
      </c>
      <c r="M13" s="179">
        <v>650.96</v>
      </c>
      <c r="N13" s="295">
        <f t="shared" si="0"/>
        <v>7.5712418300653592</v>
      </c>
      <c r="O13" s="295">
        <f t="shared" si="1"/>
        <v>7.3507202233644264</v>
      </c>
      <c r="P13" s="295">
        <f t="shared" si="2"/>
        <v>16.299050632911392</v>
      </c>
      <c r="Q13" s="351">
        <f t="shared" si="3"/>
        <v>15.824321002826593</v>
      </c>
      <c r="R13" s="45"/>
      <c r="S13"/>
      <c r="T13"/>
    </row>
    <row r="14" spans="1:26" s="44" customFormat="1" ht="15" customHeight="1" outlineLevel="1">
      <c r="A14" s="346"/>
      <c r="B14" s="288" t="s">
        <v>91</v>
      </c>
      <c r="C14" s="289" t="s">
        <v>201</v>
      </c>
      <c r="D14" s="290" t="s">
        <v>120</v>
      </c>
      <c r="E14" s="291">
        <v>39.924401838067752</v>
      </c>
      <c r="F14" s="292">
        <v>248.49464345738468</v>
      </c>
      <c r="G14" s="293">
        <f t="shared" si="4"/>
        <v>9921</v>
      </c>
      <c r="H14" s="294">
        <v>2866</v>
      </c>
      <c r="I14" s="293">
        <f t="shared" si="5"/>
        <v>12787</v>
      </c>
      <c r="J14" s="179">
        <v>1142</v>
      </c>
      <c r="K14" s="179">
        <v>1164.8399999999999</v>
      </c>
      <c r="L14" s="179">
        <v>461</v>
      </c>
      <c r="M14" s="179">
        <v>484.05</v>
      </c>
      <c r="N14" s="295">
        <f t="shared" si="0"/>
        <v>11.197022767075307</v>
      </c>
      <c r="O14" s="295">
        <f t="shared" si="1"/>
        <v>10.977473301054223</v>
      </c>
      <c r="P14" s="295">
        <f t="shared" si="2"/>
        <v>21.520607375271151</v>
      </c>
      <c r="Q14" s="351">
        <f t="shared" si="3"/>
        <v>20.495816547877286</v>
      </c>
      <c r="R14" s="45"/>
      <c r="S14"/>
      <c r="T14"/>
    </row>
    <row r="15" spans="1:26" s="44" customFormat="1" ht="15" customHeight="1" outlineLevel="1">
      <c r="A15" s="346"/>
      <c r="B15" s="288" t="s">
        <v>92</v>
      </c>
      <c r="C15" s="289" t="s">
        <v>201</v>
      </c>
      <c r="D15" s="290" t="s">
        <v>119</v>
      </c>
      <c r="E15" s="291">
        <v>45.631373013610364</v>
      </c>
      <c r="F15" s="292">
        <v>261.48676254911442</v>
      </c>
      <c r="G15" s="293">
        <f t="shared" si="4"/>
        <v>11932</v>
      </c>
      <c r="H15" s="294">
        <v>396</v>
      </c>
      <c r="I15" s="293">
        <f t="shared" si="5"/>
        <v>12328</v>
      </c>
      <c r="J15" s="179">
        <v>2055</v>
      </c>
      <c r="K15" s="179">
        <v>2096.1</v>
      </c>
      <c r="L15" s="179">
        <v>693</v>
      </c>
      <c r="M15" s="179">
        <v>699.93</v>
      </c>
      <c r="N15" s="295">
        <f t="shared" si="0"/>
        <v>5.9990267639902672</v>
      </c>
      <c r="O15" s="295">
        <f t="shared" si="1"/>
        <v>5.881398788225753</v>
      </c>
      <c r="P15" s="295">
        <f t="shared" si="2"/>
        <v>17.217893217893216</v>
      </c>
      <c r="Q15" s="351">
        <f t="shared" si="3"/>
        <v>17.04741902761705</v>
      </c>
      <c r="R15" s="45"/>
      <c r="S15"/>
      <c r="T15" s="42"/>
    </row>
    <row r="16" spans="1:26" s="44" customFormat="1" ht="15" customHeight="1" outlineLevel="1">
      <c r="A16" s="346"/>
      <c r="B16" s="288" t="s">
        <v>93</v>
      </c>
      <c r="C16" s="289" t="s">
        <v>201</v>
      </c>
      <c r="D16" s="290" t="s">
        <v>119</v>
      </c>
      <c r="E16" s="291">
        <v>37.929366506268146</v>
      </c>
      <c r="F16" s="292">
        <v>244.71803393990436</v>
      </c>
      <c r="G16" s="293">
        <f t="shared" si="4"/>
        <v>9282</v>
      </c>
      <c r="H16" s="294">
        <v>1218</v>
      </c>
      <c r="I16" s="293">
        <f t="shared" si="5"/>
        <v>10500</v>
      </c>
      <c r="J16" s="179">
        <v>2625</v>
      </c>
      <c r="K16" s="179">
        <v>2625</v>
      </c>
      <c r="L16" s="179">
        <v>732</v>
      </c>
      <c r="M16" s="179">
        <v>739.32</v>
      </c>
      <c r="N16" s="295">
        <f t="shared" si="0"/>
        <v>4</v>
      </c>
      <c r="O16" s="295">
        <f t="shared" si="1"/>
        <v>4</v>
      </c>
      <c r="P16" s="295">
        <f t="shared" si="2"/>
        <v>12.680327868852459</v>
      </c>
      <c r="Q16" s="351">
        <f t="shared" si="3"/>
        <v>12.55478006817075</v>
      </c>
      <c r="R16" s="45"/>
      <c r="S16"/>
      <c r="T16" s="42"/>
    </row>
    <row r="17" spans="1:20" s="44" customFormat="1" ht="15" customHeight="1" outlineLevel="1">
      <c r="A17" s="346"/>
      <c r="B17" s="288" t="s">
        <v>217</v>
      </c>
      <c r="C17" s="289" t="s">
        <v>201</v>
      </c>
      <c r="D17" s="290" t="s">
        <v>120</v>
      </c>
      <c r="E17" s="291">
        <v>46.356571433408185</v>
      </c>
      <c r="F17" s="292">
        <v>379</v>
      </c>
      <c r="G17" s="293">
        <f t="shared" si="4"/>
        <v>17569.140573261702</v>
      </c>
      <c r="H17" s="294">
        <v>17199.999999999993</v>
      </c>
      <c r="I17" s="293">
        <f t="shared" si="5"/>
        <v>34769.140573261699</v>
      </c>
      <c r="J17" s="179">
        <v>4688</v>
      </c>
      <c r="K17" s="179">
        <v>4688</v>
      </c>
      <c r="L17" s="179">
        <v>1092</v>
      </c>
      <c r="M17" s="179">
        <v>1168.44</v>
      </c>
      <c r="N17" s="295">
        <f t="shared" si="0"/>
        <v>7.4166255489039461</v>
      </c>
      <c r="O17" s="295">
        <f t="shared" si="1"/>
        <v>7.4166255489039461</v>
      </c>
      <c r="P17" s="295">
        <f t="shared" si="2"/>
        <v>16.088956568920974</v>
      </c>
      <c r="Q17" s="351">
        <f t="shared" si="3"/>
        <v>15.036408008337357</v>
      </c>
      <c r="R17" s="45"/>
      <c r="S17"/>
      <c r="T17" s="42"/>
    </row>
    <row r="18" spans="1:20" s="44" customFormat="1" ht="15" customHeight="1" outlineLevel="1">
      <c r="A18" s="346"/>
      <c r="B18" s="288" t="s">
        <v>118</v>
      </c>
      <c r="C18" s="289" t="s">
        <v>201</v>
      </c>
      <c r="D18" s="290" t="s">
        <v>119</v>
      </c>
      <c r="E18" s="291">
        <v>40.566817779110671</v>
      </c>
      <c r="F18" s="292">
        <v>122.27974170935197</v>
      </c>
      <c r="G18" s="293">
        <f t="shared" si="4"/>
        <v>4960.5</v>
      </c>
      <c r="H18" s="294">
        <v>1433</v>
      </c>
      <c r="I18" s="293">
        <f t="shared" si="5"/>
        <v>6393.5</v>
      </c>
      <c r="J18" s="179">
        <v>850</v>
      </c>
      <c r="K18" s="179">
        <v>884</v>
      </c>
      <c r="L18" s="179">
        <v>276</v>
      </c>
      <c r="M18" s="179">
        <v>281.52</v>
      </c>
      <c r="N18" s="295">
        <f t="shared" si="0"/>
        <v>7.5217647058823527</v>
      </c>
      <c r="O18" s="295">
        <f t="shared" si="1"/>
        <v>7.2324660633484159</v>
      </c>
      <c r="P18" s="295">
        <f t="shared" si="2"/>
        <v>17.972826086956523</v>
      </c>
      <c r="Q18" s="351">
        <f t="shared" si="3"/>
        <v>17.620417732310315</v>
      </c>
      <c r="R18" s="45"/>
      <c r="S18"/>
      <c r="T18" s="42"/>
    </row>
    <row r="19" spans="1:20" s="44" customFormat="1" ht="15" customHeight="1" outlineLevel="1">
      <c r="A19" s="346"/>
      <c r="B19" s="288" t="s">
        <v>218</v>
      </c>
      <c r="C19" s="289" t="s">
        <v>201</v>
      </c>
      <c r="D19" s="290" t="s">
        <v>121</v>
      </c>
      <c r="E19" s="291">
        <v>18.943668553284319</v>
      </c>
      <c r="F19" s="292">
        <v>48.997901192642821</v>
      </c>
      <c r="G19" s="293">
        <f t="shared" si="4"/>
        <v>928.2</v>
      </c>
      <c r="H19" s="294">
        <v>121.79999999999995</v>
      </c>
      <c r="I19" s="293">
        <f t="shared" si="5"/>
        <v>1050</v>
      </c>
      <c r="J19" s="179">
        <v>252</v>
      </c>
      <c r="K19" s="179">
        <v>257.04000000000002</v>
      </c>
      <c r="L19" s="179">
        <v>74</v>
      </c>
      <c r="M19" s="179">
        <v>76.22</v>
      </c>
      <c r="N19" s="295">
        <f t="shared" si="0"/>
        <v>4.166666666666667</v>
      </c>
      <c r="O19" s="295">
        <f t="shared" si="1"/>
        <v>4.0849673202614376</v>
      </c>
      <c r="P19" s="295">
        <f t="shared" si="2"/>
        <v>12.543243243243245</v>
      </c>
      <c r="Q19" s="351">
        <f t="shared" si="3"/>
        <v>12.177906061401208</v>
      </c>
      <c r="R19" s="45"/>
      <c r="S19"/>
      <c r="T19" s="42"/>
    </row>
    <row r="20" spans="1:20" s="44" customFormat="1" ht="15" customHeight="1" outlineLevel="1">
      <c r="A20" s="346"/>
      <c r="B20" s="288" t="s">
        <v>219</v>
      </c>
      <c r="C20" s="289" t="s">
        <v>201</v>
      </c>
      <c r="D20" s="290" t="s">
        <v>122</v>
      </c>
      <c r="E20" s="291">
        <v>15.372458268607836</v>
      </c>
      <c r="F20" s="292">
        <v>96.158986036647022</v>
      </c>
      <c r="G20" s="293">
        <f t="shared" si="4"/>
        <v>1478.2</v>
      </c>
      <c r="H20" s="294">
        <v>121.79999999999995</v>
      </c>
      <c r="I20" s="293">
        <f t="shared" si="5"/>
        <v>1600</v>
      </c>
      <c r="J20" s="179">
        <v>402</v>
      </c>
      <c r="K20" s="179">
        <v>402</v>
      </c>
      <c r="L20" s="179">
        <v>114</v>
      </c>
      <c r="M20" s="179">
        <v>121.98</v>
      </c>
      <c r="N20" s="295">
        <f t="shared" si="0"/>
        <v>3.9800995024875623</v>
      </c>
      <c r="O20" s="295">
        <f t="shared" si="1"/>
        <v>3.9800995024875623</v>
      </c>
      <c r="P20" s="295">
        <f t="shared" si="2"/>
        <v>12.966666666666667</v>
      </c>
      <c r="Q20" s="351">
        <f t="shared" si="3"/>
        <v>12.118380062305295</v>
      </c>
      <c r="R20" s="45"/>
      <c r="S20"/>
      <c r="T20" s="42"/>
    </row>
    <row r="21" spans="1:20" s="44" customFormat="1" ht="15" customHeight="1" outlineLevel="1">
      <c r="A21" s="346"/>
      <c r="B21" s="288"/>
      <c r="C21" s="288"/>
      <c r="D21" s="288"/>
      <c r="E21" s="179"/>
      <c r="F21" s="179"/>
      <c r="G21" s="179"/>
      <c r="H21" s="287"/>
      <c r="I21" s="179"/>
      <c r="J21" s="179"/>
      <c r="K21" s="179"/>
      <c r="L21" s="179"/>
      <c r="M21" s="296"/>
      <c r="N21" s="296"/>
      <c r="O21" s="296"/>
      <c r="P21" s="296"/>
      <c r="Q21" s="352"/>
      <c r="R21"/>
      <c r="S21" s="42"/>
    </row>
    <row r="22" spans="1:20" s="44" customFormat="1" ht="15" customHeight="1" outlineLevel="1">
      <c r="A22" s="346"/>
      <c r="B22" s="288"/>
      <c r="C22" s="288"/>
      <c r="D22" s="288"/>
      <c r="E22" s="179"/>
      <c r="F22" s="179"/>
      <c r="G22" s="179"/>
      <c r="H22" s="287"/>
      <c r="I22" s="179"/>
      <c r="J22" s="179"/>
      <c r="K22" s="179"/>
      <c r="L22" s="179"/>
      <c r="M22" s="296"/>
      <c r="N22" s="296"/>
      <c r="O22" s="296"/>
      <c r="P22" s="296"/>
      <c r="Q22" s="352"/>
      <c r="R22"/>
      <c r="S22" s="42"/>
    </row>
    <row r="23" spans="1:20" s="44" customFormat="1" ht="15" customHeight="1" outlineLevel="1">
      <c r="A23" s="346"/>
      <c r="B23" s="297" t="s">
        <v>94</v>
      </c>
      <c r="C23" s="298"/>
      <c r="D23" s="298"/>
      <c r="E23" s="287"/>
      <c r="F23" s="287"/>
      <c r="G23" s="299"/>
      <c r="H23" s="287"/>
      <c r="I23" s="299"/>
      <c r="J23" s="287"/>
      <c r="K23" s="293"/>
      <c r="L23" s="287"/>
      <c r="M23" s="179"/>
      <c r="N23" s="295">
        <f>+AVERAGE(N$11:N$16)</f>
        <v>7.1844350997162563</v>
      </c>
      <c r="O23" s="295">
        <f>+AVERAGE(O$11:O$16)</f>
        <v>7.0597332252599259</v>
      </c>
      <c r="P23" s="295">
        <f>+AVERAGE(P$11:P$16)</f>
        <v>16.031789646951843</v>
      </c>
      <c r="Q23" s="351">
        <f>+AVERAGE(Q$11:Q$16)</f>
        <v>15.484916173386495</v>
      </c>
      <c r="R23"/>
      <c r="S23" s="42"/>
    </row>
    <row r="24" spans="1:20" s="44" customFormat="1" ht="15" customHeight="1" outlineLevel="1">
      <c r="A24" s="346"/>
      <c r="B24" s="297" t="s">
        <v>95</v>
      </c>
      <c r="C24" s="297"/>
      <c r="D24" s="297"/>
      <c r="E24" s="287"/>
      <c r="F24" s="287"/>
      <c r="G24" s="299"/>
      <c r="H24" s="287"/>
      <c r="I24" s="299"/>
      <c r="J24" s="300"/>
      <c r="K24" s="179"/>
      <c r="L24" s="293"/>
      <c r="M24" s="293"/>
      <c r="N24" s="295">
        <f>+MEDIAN(N$11:N$16)</f>
        <v>6.7851342970278132</v>
      </c>
      <c r="O24" s="295">
        <f>+MEDIAN(O$11:O$16)</f>
        <v>6.6160595057950893</v>
      </c>
      <c r="P24" s="295">
        <f>+MEDIAN(P$11:P$16)</f>
        <v>15.375565099457503</v>
      </c>
      <c r="Q24" s="351">
        <f>+MEDIAN(Q$11:Q$16)</f>
        <v>14.729179164622549</v>
      </c>
      <c r="R24" s="42"/>
      <c r="S24" s="42"/>
    </row>
    <row r="25" spans="1:20" s="46" customFormat="1" ht="15" customHeight="1" outlineLevel="1">
      <c r="A25" s="347"/>
      <c r="B25" s="297" t="s">
        <v>96</v>
      </c>
      <c r="C25" s="297"/>
      <c r="D25" s="297"/>
      <c r="E25" s="301"/>
      <c r="F25" s="301"/>
      <c r="G25" s="299"/>
      <c r="H25" s="301"/>
      <c r="I25" s="299"/>
      <c r="J25" s="293"/>
      <c r="K25" s="301"/>
      <c r="L25" s="293"/>
      <c r="M25" s="293"/>
      <c r="N25" s="295">
        <f>+MAX(N$11:N$16)</f>
        <v>11.197022767075307</v>
      </c>
      <c r="O25" s="295">
        <f>+MAX(O$11:O$16)</f>
        <v>10.977473301054223</v>
      </c>
      <c r="P25" s="295">
        <f>+MAX(P$11:P$16)</f>
        <v>21.520607375271151</v>
      </c>
      <c r="Q25" s="351">
        <f>+MAX(Q$11:Q$16)</f>
        <v>20.495816547877286</v>
      </c>
      <c r="R25" s="42"/>
    </row>
    <row r="26" spans="1:20" s="46" customFormat="1" ht="15" customHeight="1" outlineLevel="1">
      <c r="A26" s="347"/>
      <c r="B26" s="297" t="s">
        <v>97</v>
      </c>
      <c r="C26" s="297"/>
      <c r="D26" s="297"/>
      <c r="E26" s="301"/>
      <c r="F26" s="301"/>
      <c r="G26" s="299"/>
      <c r="H26" s="301"/>
      <c r="I26" s="299"/>
      <c r="J26" s="293"/>
      <c r="K26" s="302"/>
      <c r="L26" s="293"/>
      <c r="M26" s="293"/>
      <c r="N26" s="295">
        <f>+MIN(N$11:N$16)</f>
        <v>4</v>
      </c>
      <c r="O26" s="295">
        <f>+MIN(O$11:O$16)</f>
        <v>4</v>
      </c>
      <c r="P26" s="295">
        <f>+MIN(P$11:P$16)</f>
        <v>12.680327868852459</v>
      </c>
      <c r="Q26" s="351">
        <f>+MIN(Q$11:Q$16)</f>
        <v>12.55478006817075</v>
      </c>
      <c r="R26" s="42"/>
    </row>
    <row r="27" spans="1:20" s="46" customFormat="1" ht="15" customHeight="1" outlineLevel="1">
      <c r="A27" s="347"/>
      <c r="B27" s="297"/>
      <c r="C27" s="297"/>
      <c r="D27" s="297"/>
      <c r="E27" s="301"/>
      <c r="F27" s="301"/>
      <c r="G27" s="299"/>
      <c r="H27" s="301"/>
      <c r="I27" s="299"/>
      <c r="J27" s="293"/>
      <c r="K27" s="302"/>
      <c r="L27" s="293"/>
      <c r="M27" s="293"/>
      <c r="N27" s="295"/>
      <c r="O27" s="295"/>
      <c r="P27" s="295"/>
      <c r="Q27" s="351"/>
      <c r="R27" s="42"/>
    </row>
    <row r="28" spans="1:20" s="46" customFormat="1" ht="15" customHeight="1" outlineLevel="1">
      <c r="A28" s="347"/>
      <c r="B28" s="297"/>
      <c r="C28" s="297"/>
      <c r="D28" s="297"/>
      <c r="E28" s="301"/>
      <c r="F28" s="301"/>
      <c r="G28" s="299"/>
      <c r="H28" s="301"/>
      <c r="I28" s="299"/>
      <c r="J28" s="293"/>
      <c r="K28" s="302"/>
      <c r="L28" s="293"/>
      <c r="M28" s="293"/>
      <c r="N28" s="295"/>
      <c r="O28" s="295"/>
      <c r="P28" s="295"/>
      <c r="Q28" s="351"/>
      <c r="R28" s="42"/>
    </row>
    <row r="29" spans="1:20" s="44" customFormat="1" outlineLevel="1">
      <c r="A29" s="346"/>
      <c r="B29" s="303" t="s">
        <v>208</v>
      </c>
      <c r="C29" s="278"/>
      <c r="D29" s="278"/>
      <c r="E29" s="179"/>
      <c r="F29" s="179"/>
      <c r="G29" s="179"/>
      <c r="H29" s="287"/>
      <c r="I29" s="179"/>
      <c r="J29" s="179"/>
      <c r="K29" s="179"/>
      <c r="L29" s="179"/>
      <c r="M29" s="296"/>
      <c r="N29" s="296"/>
      <c r="O29" s="296"/>
      <c r="P29" s="296"/>
      <c r="Q29" s="352"/>
      <c r="R29"/>
      <c r="S29" s="42"/>
    </row>
    <row r="30" spans="1:20" s="44" customFormat="1" outlineLevel="1">
      <c r="A30" s="346"/>
      <c r="B30" s="304" t="str">
        <f>$J$9&amp;"A EV/EBITDA"</f>
        <v>2022A EV/EBITDA</v>
      </c>
      <c r="C30" s="278"/>
      <c r="D30" s="278"/>
      <c r="E30" s="305">
        <f>G30/F30</f>
        <v>7.0339378825234045</v>
      </c>
      <c r="F30" s="306">
        <f>'DCF Model'!E232</f>
        <v>17100</v>
      </c>
      <c r="G30" s="293">
        <f>I30-H30</f>
        <v>120280.33779115022</v>
      </c>
      <c r="H30" s="307">
        <f>-'DCF Model'!D227</f>
        <v>14143.000900000001</v>
      </c>
      <c r="I30" s="293">
        <f>J30*N30</f>
        <v>134423.33869115022</v>
      </c>
      <c r="J30" s="308">
        <f>'DCF Model'!H123</f>
        <v>19811.448499999999</v>
      </c>
      <c r="K30" s="179"/>
      <c r="L30" s="179"/>
      <c r="M30" s="296"/>
      <c r="N30" s="296">
        <f>N24</f>
        <v>6.7851342970278132</v>
      </c>
      <c r="O30" s="296"/>
      <c r="P30" s="296"/>
      <c r="Q30" s="352"/>
      <c r="R30"/>
      <c r="S30" s="42"/>
    </row>
    <row r="31" spans="1:20" s="46" customFormat="1" ht="15" customHeight="1" outlineLevel="1">
      <c r="A31" s="347"/>
      <c r="B31" s="304" t="str">
        <f>$K$9&amp;"F EV/EBITDA"</f>
        <v>2023F EV/EBITDA</v>
      </c>
      <c r="C31" s="301"/>
      <c r="D31" s="301"/>
      <c r="E31" s="305">
        <f t="shared" ref="E31:E33" si="6">G31/F31</f>
        <v>7.2647312854390975</v>
      </c>
      <c r="F31" s="309">
        <f>F30</f>
        <v>17100</v>
      </c>
      <c r="G31" s="293">
        <f>I31-H31</f>
        <v>124226.90498100857</v>
      </c>
      <c r="H31" s="310">
        <f>H30</f>
        <v>14143.000900000001</v>
      </c>
      <c r="I31" s="310">
        <f>K31*O31</f>
        <v>138369.90588100857</v>
      </c>
      <c r="J31" s="301"/>
      <c r="K31" s="308">
        <f>'DCF Model'!I123</f>
        <v>20914.247485200009</v>
      </c>
      <c r="L31" s="301"/>
      <c r="M31" s="301"/>
      <c r="N31" s="287"/>
      <c r="O31" s="311">
        <f>O24</f>
        <v>6.6160595057950893</v>
      </c>
      <c r="P31" s="301"/>
      <c r="Q31" s="353"/>
    </row>
    <row r="32" spans="1:20" s="46" customFormat="1" ht="15" customHeight="1" outlineLevel="1">
      <c r="A32" s="347"/>
      <c r="B32" s="304" t="str">
        <f>$L$9&amp;"A P/E"</f>
        <v>2022A P/E</v>
      </c>
      <c r="C32" s="301"/>
      <c r="D32" s="301"/>
      <c r="E32" s="305">
        <f t="shared" si="6"/>
        <v>10.024192729222184</v>
      </c>
      <c r="F32" s="309">
        <f t="shared" ref="F32:F33" si="7">F31</f>
        <v>17100</v>
      </c>
      <c r="G32" s="293">
        <f>L32*P32</f>
        <v>171413.69566969934</v>
      </c>
      <c r="H32" s="310">
        <f t="shared" ref="H32:H33" si="8">H31</f>
        <v>14143.000900000001</v>
      </c>
      <c r="I32" s="310">
        <f>G32+H32</f>
        <v>185556.69656969936</v>
      </c>
      <c r="J32" s="301"/>
      <c r="K32" s="301"/>
      <c r="L32" s="308">
        <f>'DCF Model'!H116</f>
        <v>11148.448499999999</v>
      </c>
      <c r="M32" s="301"/>
      <c r="N32" s="287"/>
      <c r="O32" s="301"/>
      <c r="P32" s="311">
        <f>P24</f>
        <v>15.375565099457503</v>
      </c>
      <c r="Q32" s="353"/>
    </row>
    <row r="33" spans="1:17" s="46" customFormat="1" ht="15" customHeight="1" outlineLevel="1">
      <c r="A33" s="347"/>
      <c r="B33" s="304" t="str">
        <f>$M$9&amp;"F P/E"</f>
        <v>2023F P/E</v>
      </c>
      <c r="C33" s="301"/>
      <c r="D33" s="301"/>
      <c r="E33" s="305">
        <f t="shared" si="6"/>
        <v>10.537137032411891</v>
      </c>
      <c r="F33" s="309">
        <f t="shared" si="7"/>
        <v>17100</v>
      </c>
      <c r="G33" s="293">
        <f>+M33*Q33</f>
        <v>180185.04325424336</v>
      </c>
      <c r="H33" s="310">
        <f t="shared" si="8"/>
        <v>14143.000900000001</v>
      </c>
      <c r="I33" s="310">
        <f>G33+H33</f>
        <v>194328.04415424337</v>
      </c>
      <c r="J33" s="301"/>
      <c r="K33" s="301"/>
      <c r="L33" s="301"/>
      <c r="M33" s="308">
        <f>'DCF Model'!I116</f>
        <v>12233.203306198007</v>
      </c>
      <c r="N33" s="287"/>
      <c r="O33" s="301"/>
      <c r="P33" s="301"/>
      <c r="Q33" s="354">
        <f>Q24</f>
        <v>14.729179164622549</v>
      </c>
    </row>
    <row r="34" spans="1:17" s="46" customFormat="1" ht="15" customHeight="1" outlineLevel="1">
      <c r="A34" s="347"/>
      <c r="B34" s="304"/>
      <c r="C34" s="301"/>
      <c r="D34" s="301"/>
      <c r="E34" s="305"/>
      <c r="F34" s="309"/>
      <c r="G34" s="293"/>
      <c r="H34" s="310"/>
      <c r="I34" s="310"/>
      <c r="J34" s="301"/>
      <c r="K34" s="301"/>
      <c r="L34" s="301"/>
      <c r="M34" s="308"/>
      <c r="N34" s="287"/>
      <c r="O34" s="301"/>
      <c r="P34" s="301"/>
      <c r="Q34" s="354"/>
    </row>
    <row r="35" spans="1:17" s="46" customFormat="1" ht="15" customHeight="1" outlineLevel="1">
      <c r="A35" s="347"/>
      <c r="B35" s="304"/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287"/>
      <c r="O35" s="301"/>
      <c r="P35" s="301"/>
      <c r="Q35" s="353"/>
    </row>
    <row r="36" spans="1:17" s="46" customFormat="1" ht="15" customHeight="1" outlineLevel="1">
      <c r="A36" s="347"/>
      <c r="B36" s="161"/>
      <c r="C36" s="301"/>
      <c r="D36" s="301"/>
      <c r="E36" s="179"/>
      <c r="F36" s="179"/>
      <c r="G36" s="179"/>
      <c r="H36" s="293"/>
      <c r="I36" s="301"/>
      <c r="J36" s="293"/>
      <c r="K36" s="312"/>
      <c r="L36" s="312"/>
      <c r="M36" s="301"/>
      <c r="N36" s="301"/>
      <c r="O36" s="301"/>
      <c r="P36" s="161"/>
      <c r="Q36" s="355" t="s">
        <v>98</v>
      </c>
    </row>
    <row r="37" spans="1:17" s="46" customFormat="1" ht="15" customHeight="1" outlineLevel="1">
      <c r="A37" s="347"/>
      <c r="B37" s="301"/>
      <c r="C37" s="301"/>
      <c r="D37" s="301"/>
      <c r="E37" s="179"/>
      <c r="F37" s="179"/>
      <c r="G37" s="179"/>
      <c r="H37" s="293"/>
      <c r="I37" s="301"/>
      <c r="J37" s="293"/>
      <c r="K37" s="312"/>
      <c r="L37" s="312"/>
      <c r="M37" s="301"/>
      <c r="N37" s="301"/>
      <c r="O37" s="301"/>
      <c r="P37" s="301"/>
      <c r="Q37" s="356" t="s">
        <v>99</v>
      </c>
    </row>
    <row r="38" spans="1:17" s="46" customFormat="1" ht="15" customHeight="1" outlineLevel="1">
      <c r="A38" s="347"/>
      <c r="B38" s="301"/>
      <c r="C38" s="301"/>
      <c r="D38" s="301"/>
      <c r="E38" s="179"/>
      <c r="F38" s="179"/>
      <c r="G38" s="179"/>
      <c r="H38" s="293"/>
      <c r="I38" s="301"/>
      <c r="J38" s="293"/>
      <c r="K38" s="312"/>
      <c r="L38" s="312"/>
      <c r="M38" s="301"/>
      <c r="N38" s="301"/>
      <c r="O38" s="301"/>
      <c r="P38" s="301"/>
      <c r="Q38" s="357"/>
    </row>
    <row r="39" spans="1:17" s="46" customFormat="1" ht="15" customHeight="1" outlineLevel="1">
      <c r="A39" s="347"/>
      <c r="B39" s="301"/>
      <c r="C39" s="301"/>
      <c r="D39" s="301"/>
      <c r="E39" s="179"/>
      <c r="F39" s="293"/>
      <c r="G39" s="301"/>
      <c r="H39" s="293"/>
      <c r="I39" s="312"/>
      <c r="J39" s="312"/>
      <c r="K39" s="301"/>
      <c r="L39" s="301"/>
      <c r="M39" s="301"/>
      <c r="N39" s="301"/>
      <c r="O39" s="313"/>
      <c r="P39" s="301"/>
      <c r="Q39" s="353"/>
    </row>
    <row r="40" spans="1:17" s="46" customFormat="1" ht="15" customHeight="1" outlineLevel="1">
      <c r="A40" s="347"/>
      <c r="B40" s="51"/>
      <c r="C40" s="51"/>
      <c r="D40" s="51"/>
      <c r="E40" s="143"/>
      <c r="F40" s="47"/>
      <c r="G40" s="51"/>
      <c r="H40" s="47"/>
      <c r="I40" s="83"/>
      <c r="J40" s="83"/>
      <c r="K40" s="51"/>
      <c r="L40" s="51"/>
      <c r="M40" s="51"/>
      <c r="N40" s="51"/>
      <c r="O40" s="84"/>
      <c r="P40" s="84"/>
      <c r="Q40" s="358"/>
    </row>
    <row r="41" spans="1:17" ht="15" customHeight="1">
      <c r="A41" s="247"/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255"/>
    </row>
    <row r="42" spans="1:17" ht="15" customHeight="1">
      <c r="A42" s="246" t="s">
        <v>21</v>
      </c>
      <c r="B42" s="407" t="s">
        <v>152</v>
      </c>
      <c r="C42" s="407"/>
      <c r="D42" s="407"/>
      <c r="E42" s="407"/>
      <c r="F42" s="409"/>
      <c r="G42" s="409"/>
      <c r="H42" s="409"/>
      <c r="I42" s="409"/>
      <c r="J42" s="410"/>
      <c r="K42" s="411"/>
      <c r="L42" s="411"/>
      <c r="M42" s="411"/>
      <c r="N42" s="411"/>
      <c r="O42" s="411"/>
      <c r="P42" s="411"/>
      <c r="Q42" s="413"/>
    </row>
    <row r="43" spans="1:17" ht="15" customHeight="1" outlineLevel="1">
      <c r="A43" s="247"/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255"/>
    </row>
    <row r="44" spans="1:17" ht="15" customHeight="1" outlineLevel="1">
      <c r="A44" s="247"/>
      <c r="B44" s="314" t="s">
        <v>5</v>
      </c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255"/>
    </row>
    <row r="45" spans="1:17" ht="15" customHeight="1" outlineLevel="1">
      <c r="A45" s="247"/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255"/>
    </row>
    <row r="46" spans="1:17" ht="15" customHeight="1" outlineLevel="1">
      <c r="A46" s="247"/>
      <c r="B46" s="315"/>
      <c r="C46" s="315"/>
      <c r="D46" s="315"/>
      <c r="E46" s="275" t="s">
        <v>177</v>
      </c>
      <c r="F46" s="275" t="s">
        <v>178</v>
      </c>
      <c r="G46" s="275" t="s">
        <v>179</v>
      </c>
      <c r="H46" s="275" t="s">
        <v>202</v>
      </c>
      <c r="I46" s="275" t="s">
        <v>210</v>
      </c>
      <c r="J46" s="275" t="s">
        <v>206</v>
      </c>
      <c r="K46" s="316" t="s">
        <v>82</v>
      </c>
      <c r="L46" s="317" t="s">
        <v>10</v>
      </c>
      <c r="M46" s="318"/>
      <c r="N46" s="318"/>
      <c r="O46" s="317" t="s">
        <v>84</v>
      </c>
      <c r="P46" s="318"/>
      <c r="Q46" s="359"/>
    </row>
    <row r="47" spans="1:17" ht="15" customHeight="1" outlineLevel="1">
      <c r="A47" s="247"/>
      <c r="B47" s="319" t="s">
        <v>100</v>
      </c>
      <c r="C47" s="319" t="s">
        <v>101</v>
      </c>
      <c r="D47" s="319" t="s">
        <v>102</v>
      </c>
      <c r="E47" s="320" t="s">
        <v>180</v>
      </c>
      <c r="F47" s="320" t="s">
        <v>180</v>
      </c>
      <c r="G47" s="320" t="s">
        <v>181</v>
      </c>
      <c r="H47" s="281" t="s">
        <v>209</v>
      </c>
      <c r="I47" s="281" t="s">
        <v>211</v>
      </c>
      <c r="J47" s="281" t="s">
        <v>207</v>
      </c>
      <c r="K47" s="316" t="s">
        <v>103</v>
      </c>
      <c r="L47" s="282">
        <v>2022</v>
      </c>
      <c r="M47" s="283">
        <v>2023</v>
      </c>
      <c r="N47" s="283">
        <v>2024</v>
      </c>
      <c r="O47" s="282">
        <v>2022</v>
      </c>
      <c r="P47" s="283">
        <v>2023</v>
      </c>
      <c r="Q47" s="349">
        <v>2024</v>
      </c>
    </row>
    <row r="48" spans="1:17" ht="15" customHeight="1" outlineLevel="1">
      <c r="A48" s="247"/>
      <c r="B48" s="321" t="s">
        <v>104</v>
      </c>
      <c r="C48" s="322"/>
      <c r="D48" s="322"/>
      <c r="E48" s="284" t="s">
        <v>203</v>
      </c>
      <c r="F48" s="284" t="s">
        <v>203</v>
      </c>
      <c r="G48" s="322"/>
      <c r="H48" s="284" t="s">
        <v>205</v>
      </c>
      <c r="I48" s="322"/>
      <c r="J48" s="322"/>
      <c r="K48" s="322"/>
      <c r="L48" s="322"/>
      <c r="M48" s="322"/>
      <c r="N48" s="322"/>
      <c r="O48" s="286" t="s">
        <v>204</v>
      </c>
      <c r="P48" s="286" t="s">
        <v>204</v>
      </c>
      <c r="Q48" s="350" t="s">
        <v>204</v>
      </c>
    </row>
    <row r="49" spans="1:19" ht="15" customHeight="1" outlineLevel="1">
      <c r="A49" s="247"/>
      <c r="B49" s="323">
        <v>44631</v>
      </c>
      <c r="C49" s="324" t="s">
        <v>105</v>
      </c>
      <c r="D49" s="324" t="s">
        <v>106</v>
      </c>
      <c r="E49" s="325">
        <v>25.5</v>
      </c>
      <c r="F49" s="325">
        <v>31.11</v>
      </c>
      <c r="G49" s="326">
        <f>F49/E49-1</f>
        <v>0.21999999999999997</v>
      </c>
      <c r="H49" s="327">
        <v>129</v>
      </c>
      <c r="I49" s="328">
        <f>H49*F49</f>
        <v>4013.19</v>
      </c>
      <c r="J49" s="327">
        <v>2528.3096999999998</v>
      </c>
      <c r="K49" s="329">
        <f>I49+J49</f>
        <v>6541.4997000000003</v>
      </c>
      <c r="L49" s="330">
        <v>485</v>
      </c>
      <c r="M49" s="330">
        <v>509.25</v>
      </c>
      <c r="N49" s="330">
        <v>534.71249999999998</v>
      </c>
      <c r="O49" s="295">
        <f t="shared" ref="O49:Q58" si="9">IFERROR($K49/L49,"NA")</f>
        <v>13.487628247422681</v>
      </c>
      <c r="P49" s="295">
        <f t="shared" si="9"/>
        <v>12.845360235640648</v>
      </c>
      <c r="Q49" s="351">
        <f t="shared" si="9"/>
        <v>12.233676414895857</v>
      </c>
      <c r="S49"/>
    </row>
    <row r="50" spans="1:19" ht="15" customHeight="1" outlineLevel="1">
      <c r="A50" s="247"/>
      <c r="B50" s="323">
        <v>44626</v>
      </c>
      <c r="C50" s="324" t="s">
        <v>107</v>
      </c>
      <c r="D50" s="324" t="s">
        <v>108</v>
      </c>
      <c r="E50" s="325">
        <v>37.25</v>
      </c>
      <c r="F50" s="325">
        <v>46.56</v>
      </c>
      <c r="G50" s="326">
        <f>F50/E50-1</f>
        <v>0.24993288590604035</v>
      </c>
      <c r="H50" s="327">
        <v>568</v>
      </c>
      <c r="I50" s="328">
        <f t="shared" ref="I50:I58" si="10">H50*F50</f>
        <v>26446.080000000002</v>
      </c>
      <c r="J50" s="327">
        <v>18247.7952</v>
      </c>
      <c r="K50" s="329">
        <f t="shared" ref="K50:K58" si="11">I50+J50</f>
        <v>44693.875200000002</v>
      </c>
      <c r="L50" s="330">
        <v>4382</v>
      </c>
      <c r="M50" s="330">
        <v>4688.7400000000007</v>
      </c>
      <c r="N50" s="330">
        <v>5063.8392000000013</v>
      </c>
      <c r="O50" s="295">
        <f t="shared" si="9"/>
        <v>10.199423824737563</v>
      </c>
      <c r="P50" s="295">
        <f t="shared" si="9"/>
        <v>9.5321717988201513</v>
      </c>
      <c r="Q50" s="351">
        <f t="shared" si="9"/>
        <v>8.8260849989075467</v>
      </c>
    </row>
    <row r="51" spans="1:19" ht="15" customHeight="1" outlineLevel="1">
      <c r="A51" s="247"/>
      <c r="B51" s="323">
        <v>44456</v>
      </c>
      <c r="C51" s="324" t="s">
        <v>109</v>
      </c>
      <c r="D51" s="324" t="s">
        <v>110</v>
      </c>
      <c r="E51" s="325">
        <v>16.8</v>
      </c>
      <c r="F51" s="325">
        <v>21.17</v>
      </c>
      <c r="G51" s="326">
        <f>F51/E51-1</f>
        <v>0.26011904761904758</v>
      </c>
      <c r="H51" s="327">
        <v>688</v>
      </c>
      <c r="I51" s="328">
        <f t="shared" si="10"/>
        <v>14564.960000000001</v>
      </c>
      <c r="J51" s="327">
        <v>9758.5231999999996</v>
      </c>
      <c r="K51" s="329">
        <f t="shared" si="11"/>
        <v>24323.483200000002</v>
      </c>
      <c r="L51" s="330">
        <v>1622</v>
      </c>
      <c r="M51" s="330">
        <v>1784.2</v>
      </c>
      <c r="N51" s="330">
        <v>1891.2520000000002</v>
      </c>
      <c r="O51" s="295">
        <f t="shared" si="9"/>
        <v>14.995982244143034</v>
      </c>
      <c r="P51" s="295">
        <f t="shared" si="9"/>
        <v>13.632711131039121</v>
      </c>
      <c r="Q51" s="351">
        <f t="shared" si="9"/>
        <v>12.86104823682936</v>
      </c>
    </row>
    <row r="52" spans="1:19" ht="15" customHeight="1" outlineLevel="1">
      <c r="A52" s="247"/>
      <c r="B52" s="323">
        <v>44148</v>
      </c>
      <c r="C52" s="324" t="s">
        <v>111</v>
      </c>
      <c r="D52" s="324" t="s">
        <v>112</v>
      </c>
      <c r="E52" s="325">
        <v>31.11</v>
      </c>
      <c r="F52" s="325">
        <v>37.33</v>
      </c>
      <c r="G52" s="326">
        <f t="shared" ref="G52:G58" si="12">F52/E52-1</f>
        <v>0.19993571198971383</v>
      </c>
      <c r="H52" s="327">
        <v>1429</v>
      </c>
      <c r="I52" s="328">
        <f t="shared" si="10"/>
        <v>53344.57</v>
      </c>
      <c r="J52" s="327">
        <v>34673.970499999996</v>
      </c>
      <c r="K52" s="329">
        <f t="shared" si="11"/>
        <v>88018.540500000003</v>
      </c>
      <c r="L52" s="330">
        <v>8075</v>
      </c>
      <c r="M52" s="330">
        <v>8882.5</v>
      </c>
      <c r="N52" s="330">
        <v>9681.9250000000011</v>
      </c>
      <c r="O52" s="295">
        <f t="shared" si="9"/>
        <v>10.900128854489164</v>
      </c>
      <c r="P52" s="295">
        <f t="shared" si="9"/>
        <v>9.9092080495356036</v>
      </c>
      <c r="Q52" s="351">
        <f t="shared" si="9"/>
        <v>9.0910165592069756</v>
      </c>
    </row>
    <row r="53" spans="1:19" ht="15" customHeight="1" outlineLevel="1">
      <c r="A53" s="247"/>
      <c r="B53" s="323">
        <v>44056</v>
      </c>
      <c r="C53" s="324" t="s">
        <v>113</v>
      </c>
      <c r="D53" s="324" t="s">
        <v>114</v>
      </c>
      <c r="E53" s="325">
        <v>29.29</v>
      </c>
      <c r="F53" s="325">
        <v>37.200000000000003</v>
      </c>
      <c r="G53" s="326">
        <f t="shared" si="12"/>
        <v>0.27005804028678737</v>
      </c>
      <c r="H53" s="327">
        <v>1198</v>
      </c>
      <c r="I53" s="328">
        <f t="shared" si="10"/>
        <v>44565.600000000006</v>
      </c>
      <c r="J53" s="327">
        <v>27630.672000000002</v>
      </c>
      <c r="K53" s="329">
        <f t="shared" si="11"/>
        <v>72196.272000000012</v>
      </c>
      <c r="L53" s="330">
        <v>4512</v>
      </c>
      <c r="M53" s="330">
        <v>4918.08</v>
      </c>
      <c r="N53" s="330">
        <v>5311.5264000000006</v>
      </c>
      <c r="O53" s="295">
        <f t="shared" si="9"/>
        <v>16.000946808510641</v>
      </c>
      <c r="P53" s="295">
        <f t="shared" si="9"/>
        <v>14.679767714229946</v>
      </c>
      <c r="Q53" s="351">
        <f t="shared" si="9"/>
        <v>13.592377513175874</v>
      </c>
    </row>
    <row r="54" spans="1:19" ht="15" customHeight="1" outlineLevel="1">
      <c r="A54" s="247"/>
      <c r="B54" s="323">
        <v>43952</v>
      </c>
      <c r="C54" s="324" t="s">
        <v>115</v>
      </c>
      <c r="D54" s="324" t="s">
        <v>116</v>
      </c>
      <c r="E54" s="325">
        <v>12.34</v>
      </c>
      <c r="F54" s="325">
        <v>15.3</v>
      </c>
      <c r="G54" s="326">
        <f t="shared" si="12"/>
        <v>0.23987034035656407</v>
      </c>
      <c r="H54" s="327">
        <v>934</v>
      </c>
      <c r="I54" s="328">
        <f t="shared" si="10"/>
        <v>14290.2</v>
      </c>
      <c r="J54" s="327">
        <v>9145.728000000001</v>
      </c>
      <c r="K54" s="329">
        <f t="shared" si="11"/>
        <v>23435.928</v>
      </c>
      <c r="L54" s="330">
        <v>2092</v>
      </c>
      <c r="M54" s="330">
        <v>2280.2800000000002</v>
      </c>
      <c r="N54" s="330">
        <v>2485.5052000000005</v>
      </c>
      <c r="O54" s="295">
        <f t="shared" si="9"/>
        <v>11.202642447418738</v>
      </c>
      <c r="P54" s="295">
        <f t="shared" si="9"/>
        <v>10.277653621485079</v>
      </c>
      <c r="Q54" s="351">
        <f t="shared" si="9"/>
        <v>9.4290400197110813</v>
      </c>
    </row>
    <row r="55" spans="1:19" ht="15" customHeight="1" outlineLevel="1">
      <c r="A55" s="247"/>
      <c r="B55" s="323">
        <v>44091</v>
      </c>
      <c r="C55" s="324" t="s">
        <v>124</v>
      </c>
      <c r="D55" s="324" t="s">
        <v>182</v>
      </c>
      <c r="E55" s="325">
        <v>9</v>
      </c>
      <c r="F55" s="325">
        <v>8.75</v>
      </c>
      <c r="G55" s="326">
        <f t="shared" si="12"/>
        <v>-2.777777777777779E-2</v>
      </c>
      <c r="H55" s="327">
        <v>156</v>
      </c>
      <c r="I55" s="328">
        <f t="shared" si="10"/>
        <v>1365</v>
      </c>
      <c r="J55" s="327">
        <v>859.95</v>
      </c>
      <c r="K55" s="329">
        <f t="shared" si="11"/>
        <v>2224.9499999999998</v>
      </c>
      <c r="L55" s="330">
        <v>371</v>
      </c>
      <c r="M55" s="330">
        <v>404.39000000000004</v>
      </c>
      <c r="N55" s="330">
        <v>424.60950000000008</v>
      </c>
      <c r="O55" s="295">
        <f t="shared" si="9"/>
        <v>5.9971698113207541</v>
      </c>
      <c r="P55" s="295">
        <f t="shared" si="9"/>
        <v>5.501990652587847</v>
      </c>
      <c r="Q55" s="351">
        <f t="shared" si="9"/>
        <v>5.2399910977027115</v>
      </c>
    </row>
    <row r="56" spans="1:19" ht="15" customHeight="1" outlineLevel="1">
      <c r="A56" s="247"/>
      <c r="B56" s="323">
        <v>42264</v>
      </c>
      <c r="C56" s="324" t="s">
        <v>124</v>
      </c>
      <c r="D56" s="324" t="s">
        <v>125</v>
      </c>
      <c r="E56" s="325">
        <v>23.82</v>
      </c>
      <c r="F56" s="325">
        <v>30.489599999999999</v>
      </c>
      <c r="G56" s="326">
        <f t="shared" si="12"/>
        <v>0.28000000000000003</v>
      </c>
      <c r="H56" s="327">
        <v>1219</v>
      </c>
      <c r="I56" s="328">
        <f t="shared" si="10"/>
        <v>37166.822399999997</v>
      </c>
      <c r="J56" s="327">
        <v>25273.439231999997</v>
      </c>
      <c r="K56" s="329">
        <f t="shared" si="11"/>
        <v>62440.261631999994</v>
      </c>
      <c r="L56" s="330">
        <v>4995</v>
      </c>
      <c r="M56" s="330">
        <v>5144.8500000000004</v>
      </c>
      <c r="N56" s="330">
        <v>5299.1955000000007</v>
      </c>
      <c r="O56" s="295">
        <f t="shared" si="9"/>
        <v>12.500552879279278</v>
      </c>
      <c r="P56" s="295">
        <f t="shared" si="9"/>
        <v>12.136459106096385</v>
      </c>
      <c r="Q56" s="351">
        <f t="shared" si="9"/>
        <v>11.78297000591882</v>
      </c>
    </row>
    <row r="57" spans="1:19" ht="15" customHeight="1" outlineLevel="1">
      <c r="A57" s="247"/>
      <c r="B57" s="323">
        <v>41956</v>
      </c>
      <c r="C57" s="324" t="s">
        <v>127</v>
      </c>
      <c r="D57" s="324" t="s">
        <v>126</v>
      </c>
      <c r="E57" s="325">
        <v>60</v>
      </c>
      <c r="F57" s="325">
        <v>72.5</v>
      </c>
      <c r="G57" s="326">
        <f t="shared" si="12"/>
        <v>0.20833333333333326</v>
      </c>
      <c r="H57" s="327">
        <v>141</v>
      </c>
      <c r="I57" s="328">
        <f t="shared" si="10"/>
        <v>10222.5</v>
      </c>
      <c r="J57" s="327">
        <v>6337.95</v>
      </c>
      <c r="K57" s="329">
        <f t="shared" si="11"/>
        <v>16560.45</v>
      </c>
      <c r="L57" s="330">
        <v>974</v>
      </c>
      <c r="M57" s="330">
        <v>1071.4000000000001</v>
      </c>
      <c r="N57" s="330">
        <v>1178.5400000000002</v>
      </c>
      <c r="O57" s="295">
        <f t="shared" si="9"/>
        <v>17.00251540041068</v>
      </c>
      <c r="P57" s="295">
        <f t="shared" si="9"/>
        <v>15.456832182191524</v>
      </c>
      <c r="Q57" s="351">
        <f t="shared" si="9"/>
        <v>14.051665620174113</v>
      </c>
    </row>
    <row r="58" spans="1:19" ht="15" customHeight="1" outlineLevel="1">
      <c r="A58" s="247"/>
      <c r="B58" s="323">
        <v>41864</v>
      </c>
      <c r="C58" s="324" t="s">
        <v>128</v>
      </c>
      <c r="D58" s="324" t="s">
        <v>129</v>
      </c>
      <c r="E58" s="325">
        <v>14</v>
      </c>
      <c r="F58" s="325">
        <v>17.36</v>
      </c>
      <c r="G58" s="326">
        <f t="shared" si="12"/>
        <v>0.24</v>
      </c>
      <c r="H58" s="327">
        <v>1377</v>
      </c>
      <c r="I58" s="328">
        <f t="shared" si="10"/>
        <v>23904.719999999998</v>
      </c>
      <c r="J58" s="327">
        <v>14342.831999999999</v>
      </c>
      <c r="K58" s="329">
        <f t="shared" si="11"/>
        <v>38247.551999999996</v>
      </c>
      <c r="L58" s="330">
        <v>2318</v>
      </c>
      <c r="M58" s="330">
        <v>2503.44</v>
      </c>
      <c r="N58" s="330">
        <v>2728.7496000000001</v>
      </c>
      <c r="O58" s="295">
        <f t="shared" si="9"/>
        <v>16.500238136324416</v>
      </c>
      <c r="P58" s="295">
        <f t="shared" si="9"/>
        <v>15.277998274374459</v>
      </c>
      <c r="Q58" s="351">
        <f t="shared" si="9"/>
        <v>14.016512178325192</v>
      </c>
    </row>
    <row r="59" spans="1:19" ht="15" customHeight="1" outlineLevel="1">
      <c r="A59" s="247"/>
      <c r="B59" s="323"/>
      <c r="C59" s="331"/>
      <c r="D59" s="331"/>
      <c r="E59" s="331"/>
      <c r="F59" s="331"/>
      <c r="G59" s="331"/>
      <c r="H59" s="331"/>
      <c r="I59" s="331"/>
      <c r="J59" s="331"/>
      <c r="K59" s="332"/>
      <c r="L59" s="330"/>
      <c r="M59" s="330"/>
      <c r="N59" s="330"/>
      <c r="O59" s="295"/>
      <c r="P59" s="295"/>
      <c r="Q59" s="351"/>
    </row>
    <row r="60" spans="1:19" ht="15" customHeight="1" outlineLevel="1">
      <c r="A60" s="247"/>
      <c r="B60" s="323"/>
      <c r="C60" s="331"/>
      <c r="D60" s="331"/>
      <c r="E60" s="331"/>
      <c r="F60" s="331"/>
      <c r="G60" s="331"/>
      <c r="H60" s="331"/>
      <c r="I60" s="331"/>
      <c r="J60" s="331"/>
      <c r="K60" s="332"/>
      <c r="L60" s="330"/>
      <c r="M60" s="330"/>
      <c r="N60" s="330"/>
      <c r="O60" s="295"/>
      <c r="P60" s="295"/>
      <c r="Q60" s="351"/>
    </row>
    <row r="61" spans="1:19" ht="15" customHeight="1" outlineLevel="1">
      <c r="A61" s="247"/>
      <c r="B61" s="297" t="s">
        <v>94</v>
      </c>
      <c r="C61" s="333"/>
      <c r="D61" s="334"/>
      <c r="E61" s="334"/>
      <c r="F61" s="334"/>
      <c r="G61" s="335"/>
      <c r="H61" s="335"/>
      <c r="I61" s="335"/>
      <c r="J61" s="335"/>
      <c r="K61" s="299"/>
      <c r="L61" s="161"/>
      <c r="M61" s="336"/>
      <c r="N61" s="336"/>
      <c r="O61" s="295">
        <f>+AVERAGE(O$49:O$54)</f>
        <v>12.797792071120305</v>
      </c>
      <c r="P61" s="295">
        <f>+AVERAGE(P$49:P$54)</f>
        <v>11.812812091791757</v>
      </c>
      <c r="Q61" s="351">
        <f>+AVERAGE(Q$49:Q$54)</f>
        <v>11.005540623787782</v>
      </c>
    </row>
    <row r="62" spans="1:19" ht="15" customHeight="1" outlineLevel="1">
      <c r="A62" s="247"/>
      <c r="B62" s="297" t="s">
        <v>95</v>
      </c>
      <c r="C62" s="333"/>
      <c r="D62" s="334"/>
      <c r="E62" s="334"/>
      <c r="F62" s="334"/>
      <c r="G62" s="335"/>
      <c r="H62" s="335"/>
      <c r="I62" s="335"/>
      <c r="J62" s="335"/>
      <c r="K62" s="299"/>
      <c r="L62" s="299"/>
      <c r="M62" s="336"/>
      <c r="N62" s="336"/>
      <c r="O62" s="295">
        <f>+MEDIAN(O$49:O$54)</f>
        <v>12.345135347420708</v>
      </c>
      <c r="P62" s="295">
        <f>+MEDIAN(P$49:P$54)</f>
        <v>11.561506928562864</v>
      </c>
      <c r="Q62" s="351">
        <f>+MEDIAN(Q$49:Q$54)</f>
        <v>10.831358217303469</v>
      </c>
    </row>
    <row r="63" spans="1:19" ht="15" customHeight="1" outlineLevel="1">
      <c r="A63" s="247"/>
      <c r="B63" s="304" t="s">
        <v>96</v>
      </c>
      <c r="C63" s="337"/>
      <c r="D63" s="334"/>
      <c r="E63" s="334"/>
      <c r="F63" s="334"/>
      <c r="G63" s="335"/>
      <c r="H63" s="335"/>
      <c r="I63" s="335"/>
      <c r="J63" s="335"/>
      <c r="K63" s="299"/>
      <c r="L63" s="299"/>
      <c r="M63" s="334"/>
      <c r="N63" s="338"/>
      <c r="O63" s="295">
        <f>+MAX(O$49:O$54)</f>
        <v>16.000946808510641</v>
      </c>
      <c r="P63" s="295">
        <f>+MAX(P$49:P$54)</f>
        <v>14.679767714229946</v>
      </c>
      <c r="Q63" s="351">
        <f>+MAX(Q$49:Q$54)</f>
        <v>13.592377513175874</v>
      </c>
    </row>
    <row r="64" spans="1:19" ht="15" customHeight="1" outlineLevel="1">
      <c r="A64" s="247"/>
      <c r="B64" s="304" t="s">
        <v>97</v>
      </c>
      <c r="C64" s="337"/>
      <c r="D64" s="334"/>
      <c r="E64" s="334"/>
      <c r="F64" s="334"/>
      <c r="G64" s="335"/>
      <c r="H64" s="335"/>
      <c r="I64" s="335"/>
      <c r="J64" s="335"/>
      <c r="K64" s="299"/>
      <c r="L64" s="299"/>
      <c r="M64" s="334"/>
      <c r="N64" s="338"/>
      <c r="O64" s="295">
        <f>+MIN(O$49:O$54)</f>
        <v>10.199423824737563</v>
      </c>
      <c r="P64" s="295">
        <f t="shared" ref="P64:Q64" si="13">+MIN(P$49:P$54)</f>
        <v>9.5321717988201513</v>
      </c>
      <c r="Q64" s="351">
        <f t="shared" si="13"/>
        <v>8.8260849989075467</v>
      </c>
    </row>
    <row r="65" spans="1:17" ht="15" customHeight="1" outlineLevel="1">
      <c r="A65" s="247"/>
      <c r="B65" s="323"/>
      <c r="C65" s="331"/>
      <c r="D65" s="331"/>
      <c r="E65" s="331"/>
      <c r="F65" s="331"/>
      <c r="G65" s="331"/>
      <c r="H65" s="331"/>
      <c r="I65" s="331"/>
      <c r="J65" s="331"/>
      <c r="K65" s="332"/>
      <c r="L65" s="330"/>
      <c r="M65" s="330"/>
      <c r="N65" s="330"/>
      <c r="O65" s="295"/>
      <c r="P65" s="295"/>
      <c r="Q65" s="351"/>
    </row>
    <row r="66" spans="1:17" ht="15" customHeight="1" outlineLevel="1">
      <c r="A66" s="247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296"/>
      <c r="O66" s="296"/>
      <c r="P66" s="296"/>
      <c r="Q66" s="360"/>
    </row>
    <row r="67" spans="1:17" ht="15" customHeight="1" outlineLevel="1">
      <c r="A67" s="247"/>
      <c r="B67" s="303" t="s">
        <v>208</v>
      </c>
      <c r="C67" s="333"/>
      <c r="D67" s="334"/>
      <c r="E67" s="334"/>
      <c r="F67" s="334"/>
      <c r="G67" s="334"/>
      <c r="H67" s="334"/>
      <c r="I67" s="334"/>
      <c r="J67" s="334"/>
      <c r="K67" s="334"/>
      <c r="L67" s="334"/>
      <c r="M67" s="336"/>
      <c r="N67" s="336"/>
      <c r="O67" s="339"/>
      <c r="P67" s="295"/>
      <c r="Q67" s="351"/>
    </row>
    <row r="68" spans="1:17" ht="15" customHeight="1" outlineLevel="1">
      <c r="A68" s="247"/>
      <c r="B68" s="304" t="str">
        <f>$L$47&amp;"A EV/EBITDA"</f>
        <v>2022A EV/EBITDA</v>
      </c>
      <c r="C68" s="333"/>
      <c r="D68" s="334"/>
      <c r="E68" s="340">
        <f>'DCF Model'!E234</f>
        <v>7.25</v>
      </c>
      <c r="F68" s="341">
        <f>I68/H68</f>
        <v>13.475556272570465</v>
      </c>
      <c r="G68" s="342">
        <f>F68/E68-1</f>
        <v>0.8586974169062711</v>
      </c>
      <c r="H68" s="307">
        <f>'DCF Model'!E232</f>
        <v>17100</v>
      </c>
      <c r="I68" s="343">
        <f>K68-J68</f>
        <v>230432.01226095494</v>
      </c>
      <c r="J68" s="307">
        <f>-'DCF Model'!D227</f>
        <v>14143.000900000001</v>
      </c>
      <c r="K68" s="343">
        <f>L68*O68</f>
        <v>244575.01316095496</v>
      </c>
      <c r="L68" s="308">
        <f>'DCF Model'!H123</f>
        <v>19811.448499999999</v>
      </c>
      <c r="M68" s="161"/>
      <c r="N68" s="161"/>
      <c r="O68" s="295">
        <f>O62</f>
        <v>12.345135347420708</v>
      </c>
      <c r="P68" s="295"/>
      <c r="Q68" s="351"/>
    </row>
    <row r="69" spans="1:17" ht="15" customHeight="1" outlineLevel="1">
      <c r="A69" s="247"/>
      <c r="B69" s="304" t="str">
        <f>$M$47&amp;"F EV/EBITDA"</f>
        <v>2023F EV/EBITDA</v>
      </c>
      <c r="C69" s="333"/>
      <c r="D69" s="334"/>
      <c r="E69" s="341">
        <f>E68</f>
        <v>7.25</v>
      </c>
      <c r="F69" s="341">
        <f t="shared" ref="F69:F70" si="14">I69/H69</f>
        <v>13.313287503264229</v>
      </c>
      <c r="G69" s="342">
        <f t="shared" ref="G69:G70" si="15">F69/E69-1</f>
        <v>0.83631551769161794</v>
      </c>
      <c r="H69" s="343">
        <f>H68</f>
        <v>17100</v>
      </c>
      <c r="I69" s="343">
        <f t="shared" ref="I69:I70" si="16">K69-J69</f>
        <v>227657.21630581832</v>
      </c>
      <c r="J69" s="343">
        <f>J68</f>
        <v>14143.000900000001</v>
      </c>
      <c r="K69" s="343">
        <f>M69*P69</f>
        <v>241800.21720581834</v>
      </c>
      <c r="L69" s="334"/>
      <c r="M69" s="308">
        <f>'DCF Model'!I123</f>
        <v>20914.247485200009</v>
      </c>
      <c r="N69" s="336"/>
      <c r="O69" s="339"/>
      <c r="P69" s="295">
        <f>P62</f>
        <v>11.561506928562864</v>
      </c>
      <c r="Q69" s="351"/>
    </row>
    <row r="70" spans="1:17" ht="15" customHeight="1" outlineLevel="1" thickBot="1">
      <c r="A70" s="387"/>
      <c r="B70" s="434" t="s">
        <v>239</v>
      </c>
      <c r="C70" s="388"/>
      <c r="D70" s="389"/>
      <c r="E70" s="390">
        <f>E69</f>
        <v>7.25</v>
      </c>
      <c r="F70" s="390">
        <f t="shared" si="14"/>
        <v>12.633521477339277</v>
      </c>
      <c r="G70" s="391">
        <f t="shared" si="15"/>
        <v>0.74255468652955559</v>
      </c>
      <c r="H70" s="392">
        <f>H69</f>
        <v>17100</v>
      </c>
      <c r="I70" s="392">
        <f t="shared" si="16"/>
        <v>216033.21726250165</v>
      </c>
      <c r="J70" s="392">
        <f>J69</f>
        <v>14143.000900000001</v>
      </c>
      <c r="K70" s="392">
        <f>N70*Q70</f>
        <v>230176.21816250167</v>
      </c>
      <c r="L70" s="389"/>
      <c r="M70" s="393"/>
      <c r="N70" s="394">
        <f>'DCF Model'!J123</f>
        <v>21250.909954652521</v>
      </c>
      <c r="O70" s="395"/>
      <c r="P70" s="396"/>
      <c r="Q70" s="397">
        <f>Q62</f>
        <v>10.831358217303469</v>
      </c>
    </row>
    <row r="71" spans="1:17" ht="15" customHeight="1" outlineLevel="1" thickTop="1"/>
    <row r="72" spans="1:17" ht="15" customHeight="1" outlineLevel="1"/>
    <row r="73" spans="1:17" ht="15" customHeight="1" outlineLevel="1"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9"/>
      <c r="Q73"/>
    </row>
    <row r="74" spans="1:17" ht="15" customHeight="1" outlineLevel="1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50"/>
      <c r="N74" s="11"/>
    </row>
    <row r="75" spans="1:17" ht="15" customHeight="1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</sheetData>
  <hyperlinks>
    <hyperlink ref="B70" r:id="rId1" tooltip="Visit Zaigham Ali's portfolio" xr:uid="{813E6369-3EE5-4B22-B4BA-8FE9A0F79737}"/>
  </hyperlinks>
  <printOptions horizontalCentered="1"/>
  <pageMargins left="0.118110236220472" right="0.118110236220472" top="0.118110236220472" bottom="0.118110236220472" header="0.118110236220472" footer="0.118110236220472"/>
  <pageSetup scale="71" orientation="landscape" r:id="rId2"/>
  <headerFooter alignWithMargins="0">
    <oddFooter>&amp;L&amp;"Open Sans,Bold"&amp;10&amp;K002060Introduction to Business Valuation&amp;C&amp;"Open Sans,Bold"&amp;10&amp;K002060Page &amp;P of &amp;N&amp;R&amp;G</oddFooter>
  </headerFooter>
  <colBreaks count="2" manualBreakCount="2">
    <brk id="15" max="419" man="1"/>
    <brk id="16" min="41" max="77" man="1"/>
  </colBreaks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1CEAC-A8FE-4DF8-8FE6-C76DB06133B8}">
  <sheetPr>
    <pageSetUpPr fitToPage="1"/>
  </sheetPr>
  <dimension ref="A1:L43"/>
  <sheetViews>
    <sheetView showGridLines="0" zoomScale="85" zoomScaleNormal="85" zoomScaleSheetLayoutView="85" workbookViewId="0">
      <pane ySplit="1" topLeftCell="A7" activePane="bottomLeft" state="frozen"/>
      <selection pane="bottomLeft" activeCell="P28" sqref="P28"/>
    </sheetView>
  </sheetViews>
  <sheetFormatPr defaultRowHeight="15"/>
  <cols>
    <col min="1" max="1" width="8.88671875" style="85"/>
    <col min="2" max="7" width="26" style="85" customWidth="1"/>
    <col min="8" max="12" width="8.88671875" style="85" hidden="1" customWidth="1"/>
    <col min="13" max="16384" width="8.88671875" style="85"/>
  </cols>
  <sheetData>
    <row r="1" spans="1:7" ht="55.05" customHeight="1" thickTop="1">
      <c r="A1" s="376"/>
      <c r="B1" s="243" t="s">
        <v>232</v>
      </c>
      <c r="C1" s="242"/>
      <c r="D1" s="242"/>
      <c r="E1" s="242"/>
      <c r="F1" s="242"/>
      <c r="G1" s="252"/>
    </row>
    <row r="2" spans="1:7">
      <c r="A2" s="251"/>
      <c r="B2" s="238"/>
      <c r="C2" s="238"/>
      <c r="D2" s="238"/>
      <c r="E2" s="238"/>
      <c r="F2" s="238"/>
      <c r="G2" s="273"/>
    </row>
    <row r="3" spans="1:7" ht="17.399999999999999">
      <c r="A3" s="251"/>
      <c r="B3" s="407" t="s">
        <v>190</v>
      </c>
      <c r="C3" s="407"/>
      <c r="D3" s="407"/>
      <c r="E3" s="407"/>
      <c r="F3" s="409"/>
      <c r="G3" s="418"/>
    </row>
    <row r="4" spans="1:7">
      <c r="A4" s="251"/>
      <c r="B4" s="238"/>
      <c r="C4" s="238"/>
      <c r="D4" s="238"/>
      <c r="E4" s="238"/>
      <c r="F4" s="238"/>
      <c r="G4" s="273"/>
    </row>
    <row r="5" spans="1:7">
      <c r="A5" s="251"/>
      <c r="B5" s="238"/>
      <c r="C5" s="238"/>
      <c r="D5" s="238"/>
      <c r="E5" s="238"/>
      <c r="F5" s="238"/>
      <c r="G5" s="273"/>
    </row>
    <row r="6" spans="1:7">
      <c r="A6" s="251"/>
      <c r="B6" s="238"/>
      <c r="C6" s="238"/>
      <c r="D6" s="238"/>
      <c r="E6" s="238"/>
      <c r="F6" s="238"/>
      <c r="G6" s="273"/>
    </row>
    <row r="7" spans="1:7">
      <c r="A7" s="251"/>
      <c r="B7" s="238"/>
      <c r="C7" s="238"/>
      <c r="D7" s="238"/>
      <c r="E7" s="238"/>
      <c r="F7" s="238"/>
      <c r="G7" s="273"/>
    </row>
    <row r="8" spans="1:7">
      <c r="A8" s="251"/>
      <c r="B8" s="238"/>
      <c r="C8" s="238"/>
      <c r="D8" s="238"/>
      <c r="E8" s="238"/>
      <c r="F8" s="238"/>
      <c r="G8" s="273"/>
    </row>
    <row r="9" spans="1:7">
      <c r="A9" s="251"/>
      <c r="B9" s="238"/>
      <c r="C9" s="238"/>
      <c r="D9" s="238"/>
      <c r="E9" s="238"/>
      <c r="F9" s="238"/>
      <c r="G9" s="273"/>
    </row>
    <row r="10" spans="1:7">
      <c r="A10" s="251"/>
      <c r="B10" s="238"/>
      <c r="C10" s="238"/>
      <c r="D10" s="238"/>
      <c r="E10" s="238"/>
      <c r="F10" s="238"/>
      <c r="G10" s="273"/>
    </row>
    <row r="11" spans="1:7">
      <c r="A11" s="251"/>
      <c r="B11" s="238"/>
      <c r="C11" s="238"/>
      <c r="D11" s="238"/>
      <c r="E11" s="238"/>
      <c r="F11" s="238"/>
      <c r="G11" s="273"/>
    </row>
    <row r="12" spans="1:7">
      <c r="A12" s="251"/>
      <c r="B12" s="238"/>
      <c r="C12" s="238"/>
      <c r="D12" s="238"/>
      <c r="E12" s="238"/>
      <c r="F12" s="238"/>
      <c r="G12" s="273"/>
    </row>
    <row r="13" spans="1:7">
      <c r="A13" s="251"/>
      <c r="B13" s="238"/>
      <c r="C13" s="238"/>
      <c r="D13" s="238"/>
      <c r="E13" s="238"/>
      <c r="F13" s="238"/>
      <c r="G13" s="273"/>
    </row>
    <row r="14" spans="1:7">
      <c r="A14" s="251"/>
      <c r="B14" s="238"/>
      <c r="C14" s="238"/>
      <c r="D14" s="238"/>
      <c r="E14" s="238"/>
      <c r="F14" s="238"/>
      <c r="G14" s="273"/>
    </row>
    <row r="15" spans="1:7">
      <c r="A15" s="251"/>
      <c r="B15" s="238"/>
      <c r="C15" s="238"/>
      <c r="D15" s="238"/>
      <c r="E15" s="238"/>
      <c r="F15" s="238"/>
      <c r="G15" s="273"/>
    </row>
    <row r="16" spans="1:7">
      <c r="A16" s="251"/>
      <c r="B16" s="238"/>
      <c r="C16" s="238"/>
      <c r="D16" s="238"/>
      <c r="E16" s="238"/>
      <c r="F16" s="238"/>
      <c r="G16" s="273"/>
    </row>
    <row r="17" spans="1:7">
      <c r="A17" s="251"/>
      <c r="B17" s="238"/>
      <c r="C17" s="238"/>
      <c r="D17" s="238"/>
      <c r="E17" s="238"/>
      <c r="F17" s="238"/>
      <c r="G17" s="273"/>
    </row>
    <row r="18" spans="1:7">
      <c r="A18" s="251"/>
      <c r="B18" s="238"/>
      <c r="C18" s="238"/>
      <c r="D18" s="238"/>
      <c r="E18" s="238"/>
      <c r="F18" s="238"/>
      <c r="G18" s="273"/>
    </row>
    <row r="19" spans="1:7">
      <c r="A19" s="251"/>
      <c r="B19" s="238"/>
      <c r="C19" s="238"/>
      <c r="D19" s="238"/>
      <c r="E19" s="238"/>
      <c r="F19" s="238"/>
      <c r="G19" s="273"/>
    </row>
    <row r="20" spans="1:7">
      <c r="A20" s="251"/>
      <c r="B20" s="238"/>
      <c r="C20" s="238"/>
      <c r="D20" s="238"/>
      <c r="E20" s="238"/>
      <c r="F20" s="238"/>
      <c r="G20" s="273"/>
    </row>
    <row r="21" spans="1:7">
      <c r="A21" s="251"/>
      <c r="B21" s="238"/>
      <c r="C21" s="238"/>
      <c r="D21" s="238"/>
      <c r="E21" s="238"/>
      <c r="F21" s="238"/>
      <c r="G21" s="273"/>
    </row>
    <row r="22" spans="1:7">
      <c r="A22" s="251"/>
      <c r="B22" s="238"/>
      <c r="C22" s="238"/>
      <c r="D22" s="238"/>
      <c r="E22" s="238"/>
      <c r="F22" s="238"/>
      <c r="G22" s="273"/>
    </row>
    <row r="23" spans="1:7">
      <c r="A23" s="251"/>
      <c r="B23" s="238"/>
      <c r="C23" s="238"/>
      <c r="D23" s="238"/>
      <c r="E23" s="238"/>
      <c r="F23" s="238"/>
      <c r="G23" s="273"/>
    </row>
    <row r="24" spans="1:7">
      <c r="A24" s="251"/>
      <c r="B24" s="238"/>
      <c r="C24" s="238"/>
      <c r="D24" s="238"/>
      <c r="E24" s="238"/>
      <c r="F24" s="238"/>
      <c r="G24" s="273"/>
    </row>
    <row r="25" spans="1:7">
      <c r="A25" s="251"/>
      <c r="B25" s="238"/>
      <c r="C25" s="238"/>
      <c r="D25" s="238"/>
      <c r="E25" s="238"/>
      <c r="F25" s="238"/>
      <c r="G25" s="273"/>
    </row>
    <row r="26" spans="1:7">
      <c r="A26" s="251"/>
      <c r="B26" s="238"/>
      <c r="C26" s="238"/>
      <c r="D26" s="238"/>
      <c r="E26" s="238"/>
      <c r="F26" s="238"/>
      <c r="G26" s="273"/>
    </row>
    <row r="27" spans="1:7">
      <c r="A27" s="251"/>
      <c r="B27" s="238"/>
      <c r="C27" s="238"/>
      <c r="D27" s="238"/>
      <c r="E27" s="238"/>
      <c r="F27" s="238"/>
      <c r="G27" s="273"/>
    </row>
    <row r="28" spans="1:7">
      <c r="A28" s="251"/>
      <c r="B28" s="238"/>
      <c r="C28" s="238"/>
      <c r="D28" s="238"/>
      <c r="E28" s="238"/>
      <c r="F28" s="238"/>
      <c r="G28" s="273"/>
    </row>
    <row r="29" spans="1:7">
      <c r="A29" s="251"/>
      <c r="B29" s="238"/>
      <c r="C29" s="238"/>
      <c r="D29" s="238"/>
      <c r="E29" s="238"/>
      <c r="F29" s="238"/>
      <c r="G29" s="273"/>
    </row>
    <row r="30" spans="1:7">
      <c r="A30" s="251"/>
      <c r="B30" s="238"/>
      <c r="C30" s="238"/>
      <c r="D30" s="238"/>
      <c r="E30" s="238"/>
      <c r="F30" s="238"/>
      <c r="G30" s="273"/>
    </row>
    <row r="31" spans="1:7">
      <c r="A31" s="251"/>
      <c r="B31" s="238"/>
      <c r="C31" s="238"/>
      <c r="D31" s="238"/>
      <c r="E31" s="238"/>
      <c r="F31" s="238"/>
      <c r="G31" s="273"/>
    </row>
    <row r="32" spans="1:7">
      <c r="A32" s="251"/>
      <c r="B32" s="238"/>
      <c r="C32" s="238"/>
      <c r="D32" s="238"/>
      <c r="E32" s="238"/>
      <c r="F32" s="238"/>
      <c r="G32" s="273"/>
    </row>
    <row r="33" spans="1:12">
      <c r="A33" s="251"/>
      <c r="B33" s="238"/>
      <c r="C33" s="238"/>
      <c r="D33" s="238"/>
      <c r="E33" s="238"/>
      <c r="F33" s="238"/>
      <c r="G33" s="273"/>
    </row>
    <row r="34" spans="1:12">
      <c r="A34" s="251"/>
      <c r="B34" s="238"/>
      <c r="C34" s="238"/>
      <c r="D34" s="238"/>
      <c r="E34" s="238"/>
      <c r="F34" s="238"/>
      <c r="G34" s="273"/>
    </row>
    <row r="35" spans="1:12">
      <c r="A35" s="251"/>
      <c r="B35" s="238"/>
      <c r="C35" s="238"/>
      <c r="D35" s="238"/>
      <c r="E35" s="238"/>
      <c r="F35" s="238"/>
      <c r="G35" s="273"/>
    </row>
    <row r="36" spans="1:12">
      <c r="A36" s="251"/>
      <c r="B36" s="238"/>
      <c r="C36" s="238"/>
      <c r="D36" s="438"/>
      <c r="E36" s="439" t="s">
        <v>186</v>
      </c>
      <c r="F36" s="439" t="s">
        <v>187</v>
      </c>
      <c r="G36" s="440" t="s">
        <v>188</v>
      </c>
      <c r="H36" s="85" t="s">
        <v>186</v>
      </c>
      <c r="I36" s="85" t="s">
        <v>188</v>
      </c>
      <c r="K36" s="85" t="s">
        <v>186</v>
      </c>
      <c r="L36" s="85" t="s">
        <v>188</v>
      </c>
    </row>
    <row r="37" spans="1:12">
      <c r="A37" s="251"/>
      <c r="B37" s="238"/>
      <c r="C37" s="238"/>
      <c r="D37" s="148" t="s">
        <v>185</v>
      </c>
      <c r="E37" s="419">
        <f>MIN('Relative Valuation'!$E$30:$E$33)</f>
        <v>7.0339378825234045</v>
      </c>
      <c r="F37" s="419">
        <f t="shared" ref="F37:F38" si="0">G37-E37</f>
        <v>3.5031991498884869</v>
      </c>
      <c r="G37" s="420">
        <f>MAX('Relative Valuation'!$E$30:$E$33)</f>
        <v>10.537137032411891</v>
      </c>
      <c r="H37" s="88">
        <f>E37</f>
        <v>7.0339378825234045</v>
      </c>
      <c r="I37" s="88">
        <f>F37</f>
        <v>3.5031991498884869</v>
      </c>
      <c r="J37" s="85" t="str">
        <f>D37</f>
        <v>Comparable Companies</v>
      </c>
      <c r="K37" s="88">
        <f>E37</f>
        <v>7.0339378825234045</v>
      </c>
      <c r="L37" s="88">
        <f>F37</f>
        <v>3.5031991498884869</v>
      </c>
    </row>
    <row r="38" spans="1:12">
      <c r="A38" s="251"/>
      <c r="B38" s="238"/>
      <c r="C38" s="238"/>
      <c r="D38" s="148" t="s">
        <v>184</v>
      </c>
      <c r="E38" s="419">
        <f>MIN('Relative Valuation'!$F$68:$F$70)</f>
        <v>12.633521477339277</v>
      </c>
      <c r="F38" s="419">
        <f t="shared" si="0"/>
        <v>0.84203479523118752</v>
      </c>
      <c r="G38" s="420">
        <f>MAX('Relative Valuation'!$F$68:$F$70)</f>
        <v>13.475556272570465</v>
      </c>
      <c r="H38" s="88">
        <f>E38</f>
        <v>12.633521477339277</v>
      </c>
      <c r="I38" s="88">
        <f>F38</f>
        <v>0.84203479523118752</v>
      </c>
      <c r="J38" s="85" t="str">
        <f>D38</f>
        <v>Precedent Transactions</v>
      </c>
      <c r="K38" s="88">
        <f>E38</f>
        <v>12.633521477339277</v>
      </c>
      <c r="L38" s="88">
        <f>F38</f>
        <v>0.84203479523118752</v>
      </c>
    </row>
    <row r="39" spans="1:12">
      <c r="A39" s="251"/>
      <c r="B39" s="238"/>
      <c r="C39" s="238"/>
      <c r="D39" s="148" t="s">
        <v>197</v>
      </c>
      <c r="E39" s="419">
        <f>'DCF Model'!D319</f>
        <v>5.0904490071280213</v>
      </c>
      <c r="F39" s="419">
        <f>G39-E39</f>
        <v>3.4321569607814224</v>
      </c>
      <c r="G39" s="420">
        <f>'DCF Model'!H323</f>
        <v>8.5226059679094437</v>
      </c>
      <c r="H39" s="88">
        <f>E39</f>
        <v>5.0904490071280213</v>
      </c>
      <c r="I39" s="88">
        <f>F39</f>
        <v>3.4321569607814224</v>
      </c>
      <c r="J39" s="85" t="str">
        <f>D39</f>
        <v>DCF - Perpetuity Growth</v>
      </c>
      <c r="K39" s="88">
        <f>E39</f>
        <v>5.0904490071280213</v>
      </c>
      <c r="L39" s="88">
        <f>F39</f>
        <v>3.4321569607814224</v>
      </c>
    </row>
    <row r="40" spans="1:12">
      <c r="A40" s="251"/>
      <c r="B40" s="238"/>
      <c r="C40" s="238"/>
      <c r="D40" s="148" t="s">
        <v>198</v>
      </c>
      <c r="E40" s="419">
        <f>'DCF Model'!D330</f>
        <v>4.6588611592877118</v>
      </c>
      <c r="F40" s="419">
        <f>G40-E40</f>
        <v>3.5355384202228173</v>
      </c>
      <c r="G40" s="420">
        <f>'DCF Model'!H334</f>
        <v>8.1943995795105291</v>
      </c>
      <c r="H40" s="88">
        <f>E40</f>
        <v>4.6588611592877118</v>
      </c>
      <c r="I40" s="88">
        <f>F40</f>
        <v>3.5355384202228173</v>
      </c>
      <c r="J40" s="85" t="str">
        <f>D40</f>
        <v>DCF - Terminal Multiple</v>
      </c>
      <c r="K40" s="88">
        <f>E40</f>
        <v>4.6588611592877118</v>
      </c>
      <c r="L40" s="88">
        <f>F40</f>
        <v>3.5355384202228173</v>
      </c>
    </row>
    <row r="41" spans="1:12">
      <c r="A41" s="251"/>
      <c r="B41" s="238"/>
      <c r="C41" s="238"/>
      <c r="D41" s="435" t="s">
        <v>189</v>
      </c>
      <c r="E41" s="436">
        <v>4.25</v>
      </c>
      <c r="F41" s="436">
        <f>G41-E41</f>
        <v>5.8599999999999994</v>
      </c>
      <c r="G41" s="437">
        <v>10.11</v>
      </c>
      <c r="H41" s="88">
        <f>E41</f>
        <v>4.25</v>
      </c>
      <c r="I41" s="88">
        <f>F41</f>
        <v>5.8599999999999994</v>
      </c>
      <c r="J41" s="85" t="str">
        <f>D41</f>
        <v>52 Week High/Low</v>
      </c>
      <c r="K41" s="88">
        <f>E41</f>
        <v>4.25</v>
      </c>
      <c r="L41" s="88">
        <f>F41</f>
        <v>5.8599999999999994</v>
      </c>
    </row>
    <row r="42" spans="1:12" ht="24" customHeight="1" thickBot="1">
      <c r="A42" s="382"/>
      <c r="B42" s="442" t="s">
        <v>238</v>
      </c>
      <c r="C42" s="441"/>
      <c r="D42" s="444" t="s">
        <v>240</v>
      </c>
      <c r="E42" s="443"/>
      <c r="F42" s="443"/>
      <c r="G42" s="445">
        <f>(AVERAGE(E37:E40)+AVERAGE(G37:G40))/2</f>
        <v>8.7683085473350921</v>
      </c>
    </row>
    <row r="43" spans="1:12" ht="15.6" thickTop="1">
      <c r="A43" s="446"/>
    </row>
  </sheetData>
  <mergeCells count="2">
    <mergeCell ref="B42:C42"/>
    <mergeCell ref="D42:F42"/>
  </mergeCells>
  <hyperlinks>
    <hyperlink ref="B42" r:id="rId1" xr:uid="{935437A2-0035-40B9-A294-0D5135803368}"/>
  </hyperlinks>
  <printOptions horizontalCentered="1"/>
  <pageMargins left="0.11799999999999999" right="0.11799999999999999" top="0.11799999999999999" bottom="0.11799999999999999" header="0.3" footer="0.3"/>
  <pageSetup scale="99" orientation="landscape" horizontalDpi="300" verticalDpi="300" r:id="rId2"/>
  <headerFooter>
    <oddFooter>&amp;L&amp;"Open Sans,Bold"&amp;10&amp;K002060Introduction to Business Valuation&amp;C&amp;"Open Sans,Bold"&amp;10&amp;K002060Page &amp;P of &amp;N&amp;R&amp;G</oddFooter>
  </headerFooter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acheModel xmlns:xsd="http://www.w3.org/2001/XMLSchema" xmlns:xsi="http://www.w3.org/2001/XMLSchema-instance" xmlns="TagniFiModelState">
  <SerializedJson>[]</SerializedJson>
</CacheModel>
</file>

<file path=customXml/itemProps1.xml><?xml version="1.0" encoding="utf-8"?>
<ds:datastoreItem xmlns:ds="http://schemas.openxmlformats.org/officeDocument/2006/customXml" ds:itemID="{F87FA3EF-5CAE-45FE-8E65-0323A68546CC}">
  <ds:schemaRefs>
    <ds:schemaRef ds:uri="http://www.w3.org/2001/XMLSchema"/>
    <ds:schemaRef ds:uri="TagniFiModelStat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Cover</vt:lpstr>
      <vt:lpstr>DCF Model</vt:lpstr>
      <vt:lpstr>Relative Valuation</vt:lpstr>
      <vt:lpstr>Football Field Chart</vt:lpstr>
      <vt:lpstr>Cover!Print_Area</vt:lpstr>
      <vt:lpstr>'DCF Model'!Print_Area</vt:lpstr>
      <vt:lpstr>'Football Field Chart'!Print_Area</vt:lpstr>
      <vt:lpstr>'Relative Valuation'!Print_Area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Jeffrey Schmidt</dc:creator>
  <cp:keywords/>
  <dc:description/>
  <cp:lastModifiedBy>Syed Zaigham Ali</cp:lastModifiedBy>
  <cp:revision/>
  <cp:lastPrinted>2023-04-03T15:46:36Z</cp:lastPrinted>
  <dcterms:created xsi:type="dcterms:W3CDTF">1899-12-30T08:00:00Z</dcterms:created>
  <dcterms:modified xsi:type="dcterms:W3CDTF">2026-05-12T15:05:16Z</dcterms:modified>
  <cp:category/>
  <cp:contentStatus/>
  <dc:language/>
  <cp:version/>
</cp:coreProperties>
</file>